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pauly\Desktop\"/>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19416" windowHeight="10416"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alcOnSave="0"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V6" i="5" l="1"/>
  <c r="J6" i="5"/>
  <c r="E6" i="5"/>
  <c r="S6" i="5"/>
  <c r="T6" i="5"/>
  <c r="V7" i="5"/>
  <c r="J7" i="5"/>
  <c r="E7" i="5"/>
  <c r="S7" i="5"/>
  <c r="T7" i="5"/>
  <c r="V8" i="5"/>
  <c r="J8" i="5"/>
  <c r="E8" i="5"/>
  <c r="S8" i="5"/>
  <c r="T8" i="5"/>
  <c r="V9" i="5"/>
  <c r="J9" i="5"/>
  <c r="E9" i="5"/>
  <c r="S9" i="5"/>
  <c r="T9" i="5"/>
  <c r="V10" i="5"/>
  <c r="J10" i="5"/>
  <c r="E10" i="5"/>
  <c r="S10" i="5"/>
  <c r="T10" i="5"/>
  <c r="V11" i="5"/>
  <c r="J11" i="5"/>
  <c r="E11" i="5"/>
  <c r="S11" i="5"/>
  <c r="T11" i="5"/>
  <c r="V12" i="5"/>
  <c r="J12" i="5"/>
  <c r="E12" i="5"/>
  <c r="S12" i="5"/>
  <c r="T12" i="5"/>
  <c r="V13" i="5"/>
  <c r="J13" i="5"/>
  <c r="E13" i="5"/>
  <c r="S13" i="5"/>
  <c r="T13" i="5"/>
  <c r="V14" i="5"/>
  <c r="J14" i="5"/>
  <c r="E14" i="5"/>
  <c r="S14" i="5"/>
  <c r="T14" i="5"/>
  <c r="V15" i="5"/>
  <c r="J15" i="5"/>
  <c r="E15" i="5"/>
  <c r="S15" i="5"/>
  <c r="T15" i="5"/>
  <c r="V16" i="5"/>
  <c r="J16" i="5"/>
  <c r="E16" i="5"/>
  <c r="S16" i="5"/>
  <c r="T16" i="5"/>
  <c r="V17" i="5"/>
  <c r="J17" i="5"/>
  <c r="E17" i="5"/>
  <c r="S17" i="5"/>
  <c r="T17" i="5"/>
  <c r="V18" i="5"/>
  <c r="J18" i="5"/>
  <c r="E18" i="5"/>
  <c r="S18" i="5"/>
  <c r="T18" i="5"/>
  <c r="V19" i="5"/>
  <c r="J19" i="5"/>
  <c r="E19" i="5"/>
  <c r="S19" i="5"/>
  <c r="T19" i="5"/>
  <c r="V20" i="5"/>
  <c r="J20" i="5"/>
  <c r="E20" i="5"/>
  <c r="S20" i="5"/>
  <c r="T20" i="5"/>
  <c r="V21" i="5"/>
  <c r="J21" i="5"/>
  <c r="E21" i="5"/>
  <c r="S21" i="5"/>
  <c r="T21" i="5"/>
  <c r="V22" i="5"/>
  <c r="J22" i="5"/>
  <c r="E22" i="5"/>
  <c r="S22" i="5"/>
  <c r="T22" i="5"/>
  <c r="V23" i="5"/>
  <c r="J23" i="5"/>
  <c r="E23" i="5"/>
  <c r="S23" i="5"/>
  <c r="T23" i="5"/>
  <c r="V24" i="5"/>
  <c r="J24" i="5"/>
  <c r="E24" i="5"/>
  <c r="S24" i="5"/>
  <c r="T24" i="5"/>
  <c r="V25" i="5"/>
  <c r="J25" i="5"/>
  <c r="E25" i="5"/>
  <c r="S25" i="5"/>
  <c r="T25" i="5"/>
  <c r="V26" i="5"/>
  <c r="J26" i="5"/>
  <c r="E26" i="5"/>
  <c r="S26" i="5"/>
  <c r="T26" i="5"/>
  <c r="V27" i="5"/>
  <c r="J27" i="5"/>
  <c r="E27" i="5"/>
  <c r="S27" i="5"/>
  <c r="T27" i="5"/>
  <c r="V28" i="5"/>
  <c r="J28" i="5"/>
  <c r="E28" i="5"/>
  <c r="S28"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F28" i="5"/>
  <c r="H20" i="5"/>
  <c r="H114" i="5"/>
  <c r="F118" i="5"/>
  <c r="R118" i="5"/>
  <c r="J118" i="5"/>
  <c r="X5" i="5"/>
  <c r="I20"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<sst xmlns="http://schemas.openxmlformats.org/spreadsheetml/2006/main" count="22610" uniqueCount="15864">
  <si>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</si>
  <si>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</si>
  <si>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</si>
  <si>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</si>
  <si>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</si>
  <si>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</si>
  <si>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</si>
  <si>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</si>
  <si>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</si>
  <si>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</si>
  <si>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</si>
  <si>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</si>
  <si>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</si>
  <si>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</si>
  <si>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</si>
  <si>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</si>
  <si>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</si>
  <si>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</si>
  <si>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</si>
  <si>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</si>
  <si>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</si>
  <si>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</si>
  <si>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</si>
  <si>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</si>
  <si>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</si>
  <si>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</si>
  <si>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</si>
  <si>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</si>
  <si>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</si>
  <si>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</si>
  <si>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</si>
  <si>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</si>
  <si>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</si>
  <si>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</si>
  <si>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</si>
  <si>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</si>
  <si>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</si>
  <si>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</si>
  <si>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</si>
  <si>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</si>
  <si>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</si>
  <si>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</si>
  <si>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</si>
  <si>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</si>
  <si>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</si>
  <si>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</si>
  <si>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</si>
  <si>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</si>
  <si>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</si>
  <si>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</si>
  <si>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</si>
  <si>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</si>
  <si>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</si>
  <si>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</si>
  <si>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</si>
  <si>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</si>
  <si>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</si>
  <si>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</si>
  <si>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</si>
  <si>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</si>
  <si>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</si>
  <si>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</si>
  <si>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</si>
  <si>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</si>
  <si>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</si>
  <si>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</si>
  <si>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</si>
  <si>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</si>
  <si>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</si>
  <si>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</si>
  <si>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</si>
  <si>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</si>
  <si>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</si>
  <si>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</si>
  <si>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</si>
  <si>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</si>
  <si>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</si>
  <si>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</si>
  <si>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</si>
  <si>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</si>
  <si>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</si>
  <si>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</si>
  <si>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</si>
  <si>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</si>
  <si>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</si>
  <si>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</si>
  <si>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</si>
  <si>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</si>
  <si>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</si>
  <si>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</si>
  <si>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</si>
  <si>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</si>
  <si>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</si>
  <si>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</si>
  <si>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</si>
  <si>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</si>
  <si>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</si>
  <si>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</si>
  <si>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</si>
  <si>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</si>
  <si>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</si>
  <si>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</si>
  <si>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</si>
  <si>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</si>
  <si>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</si>
  <si>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</si>
  <si>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</si>
  <si>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</si>
  <si>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</si>
  <si>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</si>
  <si>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</si>
  <si>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</si>
  <si>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</si>
  <si>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</si>
  <si>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</si>
  <si>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</si>
  <si>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</si>
  <si>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</si>
  <si>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</si>
  <si>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</si>
  <si>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</si>
  <si>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</si>
  <si>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</si>
  <si>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</si>
  <si>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</si>
  <si>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</si>
  <si>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</si>
  <si>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</si>
  <si>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</si>
  <si>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</si>
  <si>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</si>
  <si>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</si>
  <si>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</si>
  <si>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</si>
  <si>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</si>
  <si>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</si>
  <si>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</si>
  <si>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</si>
  <si>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</si>
  <si>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</si>
  <si>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</si>
  <si>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</si>
  <si>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</si>
  <si>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</si>
  <si>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</si>
  <si>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</si>
  <si>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</si>
  <si>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</si>
  <si>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</si>
  <si>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</si>
  <si>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</si>
  <si>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</si>
  <si>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</si>
  <si>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</si>
  <si>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</si>
  <si>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</si>
  <si>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</si>
  <si>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</si>
  <si>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</si>
  <si>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</si>
  <si>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</si>
  <si>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</si>
  <si>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</si>
  <si>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</si>
  <si>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</si>
  <si>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</si>
  <si>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</si>
  <si>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</si>
  <si>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</si>
  <si>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</si>
  <si>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</si>
  <si>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</si>
  <si>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</si>
  <si>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</si>
  <si>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</si>
  <si>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</si>
  <si>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</si>
  <si>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</si>
  <si>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</si>
  <si>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</si>
  <si>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</si>
  <si>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</si>
  <si>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</si>
  <si>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</si>
  <si>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</si>
  <si>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</si>
  <si>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</si>
  <si>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</si>
  <si>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</si>
  <si>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</si>
  <si>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</si>
  <si>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</si>
  <si>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</si>
  <si>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</si>
  <si>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</si>
  <si>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</si>
  <si>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</si>
  <si>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</si>
  <si>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</si>
  <si>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</si>
  <si>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</si>
  <si>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</si>
  <si>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</si>
  <si>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</si>
  <si>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</si>
  <si>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</si>
  <si>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</si>
  <si>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</si>
  <si>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</si>
  <si>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</si>
  <si>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</si>
  <si>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</si>
  <si>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</si>
  <si>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</si>
  <si>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</si>
  <si>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</si>
  <si>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</si>
  <si>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</si>
  <si>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</si>
  <si>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</si>
  <si>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</si>
  <si>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</si>
  <si>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</si>
  <si>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</si>
  <si>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</si>
  <si>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</si>
  <si>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</si>
  <si>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</si>
  <si>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</si>
  <si>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</si>
  <si>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</si>
  <si>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</si>
  <si>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</si>
  <si>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</si>
  <si>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</si>
  <si>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</si>
  <si>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</si>
  <si>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</si>
  <si>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</si>
  <si>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</si>
  <si>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</si>
  <si>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</si>
  <si>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</si>
  <si>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</si>
  <si>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</si>
  <si>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</si>
  <si>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</si>
  <si>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</si>
  <si>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</si>
  <si>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</si>
  <si>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</si>
  <si>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</si>
  <si>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</si>
  <si>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</si>
  <si>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</si>
  <si>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</si>
  <si>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</si>
  <si>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</si>
  <si>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</si>
  <si>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</si>
  <si>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</si>
  <si>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</si>
  <si>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</si>
  <si>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</si>
  <si>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</si>
  <si>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</si>
  <si>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</si>
  <si>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</si>
  <si>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</si>
  <si>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</si>
  <si>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</si>
  <si>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</si>
  <si>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</si>
  <si>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</si>
  <si>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</si>
  <si>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</si>
  <si>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</si>
  <si>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</si>
  <si>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</si>
  <si>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</si>
  <si>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</si>
  <si>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</si>
  <si>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</si>
  <si>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</si>
  <si>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</si>
  <si>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</si>
  <si>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</si>
  <si>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</si>
  <si>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</si>
  <si>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</si>
  <si>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</si>
  <si>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</si>
  <si>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</si>
  <si>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</si>
  <si>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</si>
  <si>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</si>
  <si>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</si>
  <si>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</si>
  <si>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</si>
  <si>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</si>
  <si>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</si>
  <si>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</si>
  <si>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</si>
  <si>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</si>
  <si>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</si>
  <si>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</si>
  <si>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</si>
  <si>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</si>
  <si>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</si>
  <si>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</si>
  <si>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</si>
  <si>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</si>
  <si>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</si>
  <si>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</si>
  <si>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</si>
  <si>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</si>
  <si>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</si>
  <si>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</si>
  <si>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</si>
  <si>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</si>
  <si>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</si>
  <si>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</si>
  <si>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</si>
  <si>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</si>
  <si>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</si>
  <si>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</si>
  <si>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</si>
  <si>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</si>
  <si>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</si>
  <si>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</si>
  <si>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</si>
  <si>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</si>
  <si>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</si>
  <si>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</si>
  <si>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</si>
  <si>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</si>
  <si>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</si>
  <si>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</si>
  <si>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</si>
  <si>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</si>
  <si>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</si>
  <si>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</si>
  <si>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</si>
  <si>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</si>
  <si>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</si>
  <si>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</si>
  <si>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</si>
  <si>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</si>
  <si>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</si>
  <si>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</si>
  <si>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</si>
  <si>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</si>
  <si>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</si>
  <si>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</si>
  <si>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</si>
  <si>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</si>
  <si>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</si>
  <si>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</si>
  <si>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</si>
  <si>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</si>
  <si>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</si>
  <si>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</si>
  <si>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</si>
  <si>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</si>
  <si>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</si>
  <si>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</si>
  <si>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</si>
  <si>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</si>
  <si>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</si>
  <si>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</si>
  <si>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</si>
  <si>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</si>
  <si>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</si>
  <si>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</si>
  <si>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</si>
  <si>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</si>
  <si>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</si>
  <si>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</si>
  <si>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</si>
  <si>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</si>
  <si>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</si>
  <si>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</si>
  <si>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</si>
  <si>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</si>
  <si>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</si>
  <si>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</si>
  <si>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</si>
  <si>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</si>
  <si>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</si>
  <si>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</si>
  <si>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</si>
  <si>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</si>
  <si>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</si>
  <si>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</si>
  <si>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</si>
  <si>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</si>
  <si>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</si>
  <si>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</si>
  <si>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</si>
  <si>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</si>
  <si>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</si>
  <si>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</si>
  <si>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</si>
  <si>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</si>
  <si>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</si>
  <si>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</si>
  <si>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</si>
  <si>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</si>
  <si>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</si>
  <si>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</si>
  <si>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</si>
  <si>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</si>
  <si>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</si>
  <si>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</si>
  <si>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</si>
  <si>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</si>
  <si>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</si>
  <si>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</si>
  <si>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</si>
  <si>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</si>
  <si>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</si>
  <si>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</si>
  <si>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</si>
  <si>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</si>
  <si>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</si>
  <si>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</si>
  <si>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</si>
  <si>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</si>
  <si>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</si>
  <si>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</si>
  <si>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</si>
  <si>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</si>
  <si>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</si>
  <si>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</si>
  <si>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</si>
  <si>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</si>
  <si>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</si>
  <si>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</si>
  <si>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</si>
  <si>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</si>
  <si>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</si>
  <si>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</si>
  <si>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</si>
  <si>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</si>
  <si>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</si>
  <si>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</si>
  <si>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</si>
  <si>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</si>
  <si>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</si>
  <si>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</si>
  <si>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</si>
  <si>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</si>
  <si>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</si>
  <si>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</si>
  <si>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</si>
  <si>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</si>
  <si>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</si>
  <si>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</si>
  <si>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</si>
  <si>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</si>
  <si>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</si>
  <si>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</si>
  <si>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</si>
  <si>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</si>
  <si>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</si>
  <si>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</si>
  <si>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</si>
  <si>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</si>
  <si>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</si>
  <si>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</si>
  <si>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</si>
  <si>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</si>
  <si>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</si>
  <si>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</si>
  <si>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</si>
  <si>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</si>
  <si>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</si>
  <si>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</si>
  <si>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</si>
  <si>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</si>
  <si>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</si>
  <si>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</si>
  <si>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</si>
  <si>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</si>
  <si>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</si>
  <si>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</si>
  <si>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</si>
  <si>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</si>
  <si>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</si>
  <si>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</si>
  <si>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</si>
  <si>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</si>
  <si>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</si>
  <si>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</si>
  <si>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</si>
  <si>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</si>
  <si>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</si>
  <si>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</si>
  <si>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</si>
  <si>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</si>
  <si>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</si>
  <si>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</si>
  <si>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</si>
  <si>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</si>
  <si>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</si>
  <si>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</si>
  <si>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</si>
  <si>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</si>
  <si>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</si>
  <si>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</si>
  <si>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</si>
  <si>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</si>
  <si>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</si>
  <si>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</si>
  <si>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</si>
  <si>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</si>
  <si>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</si>
  <si>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</si>
  <si>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</si>
  <si>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</si>
  <si>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</si>
  <si>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</si>
  <si>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</si>
  <si>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</si>
  <si>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</si>
  <si>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</si>
  <si>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</si>
  <si>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</si>
  <si>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</si>
  <si>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</si>
  <si>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</si>
  <si>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</si>
  <si>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</si>
  <si>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</si>
  <si>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</si>
  <si>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</si>
  <si>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</si>
  <si>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</si>
  <si>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</si>
  <si>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</si>
  <si>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</si>
  <si>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</si>
  <si>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</si>
  <si>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</si>
  <si>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</si>
  <si>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</si>
  <si>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</si>
  <si>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</si>
  <si>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</si>
  <si>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</si>
  <si>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</si>
  <si>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</si>
  <si>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</si>
  <si>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</si>
  <si>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</si>
  <si>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</si>
  <si>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</si>
  <si>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</si>
  <si>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</si>
  <si>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</si>
  <si>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</si>
  <si>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</si>
  <si>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</si>
  <si>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</si>
  <si>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</si>
  <si>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</si>
  <si>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</si>
  <si>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</si>
  <si>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</si>
  <si>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</si>
  <si>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</si>
  <si>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</si>
  <si>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</si>
  <si>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</si>
  <si>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</si>
  <si>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</si>
  <si>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</si>
  <si>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</si>
  <si>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</si>
  <si>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</si>
  <si>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</si>
  <si>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</si>
  <si>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</si>
  <si>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</si>
  <si>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</si>
  <si>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</si>
  <si>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</si>
  <si>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</si>
  <si>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</si>
  <si>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</si>
  <si>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</si>
  <si>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</si>
  <si>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</si>
  <si>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</si>
  <si>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</si>
  <si>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</si>
  <si>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</si>
  <si>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</si>
  <si>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</si>
  <si>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</si>
  <si>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</si>
  <si>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</si>
  <si>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</si>
  <si>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</si>
  <si>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</si>
  <si>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</si>
  <si>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</si>
  <si>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</si>
  <si>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</si>
  <si>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</si>
  <si>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</si>
  <si>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</si>
  <si>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</si>
  <si>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</si>
  <si>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</si>
  <si>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</si>
  <si>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</si>
  <si>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</si>
  <si>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</si>
  <si>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</si>
  <si>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</si>
  <si>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</si>
  <si>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</si>
  <si>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</si>
  <si>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</si>
  <si>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</si>
  <si>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</si>
  <si>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</si>
  <si>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</si>
  <si>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</si>
  <si>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</si>
  <si>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</si>
  <si>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</si>
  <si>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</si>
  <si>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</si>
  <si>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</si>
  <si>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</si>
  <si>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</si>
  <si>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</si>
  <si>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</si>
  <si>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</si>
  <si>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</si>
  <si>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</si>
  <si>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</si>
  <si>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</si>
  <si>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</si>
  <si>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</si>
  <si>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</si>
  <si>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</si>
  <si>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</si>
  <si>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</si>
  <si>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</si>
  <si>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</si>
  <si>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</si>
  <si>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</si>
  <si>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</si>
  <si>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</si>
  <si>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</si>
  <si>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</si>
  <si>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</si>
  <si>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</si>
  <si>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</si>
  <si>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</si>
  <si>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</si>
  <si>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</si>
  <si>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</si>
  <si>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</si>
  <si>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</si>
  <si>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</si>
  <si>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</si>
  <si>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</si>
  <si>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</si>
  <si>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</si>
  <si>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</si>
  <si>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</si>
  <si>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</si>
  <si>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</si>
  <si>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</si>
  <si>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</si>
  <si>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</si>
  <si>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</si>
  <si>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</si>
  <si>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</si>
  <si>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</si>
  <si>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</si>
  <si>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</si>
  <si>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</si>
  <si>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</si>
  <si>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</si>
  <si>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</si>
  <si>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</si>
  <si>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</si>
  <si>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</si>
  <si>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</si>
  <si>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</si>
  <si>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</si>
  <si>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</si>
  <si>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</si>
  <si>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</si>
  <si>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</si>
  <si>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</si>
  <si>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</si>
  <si>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</si>
  <si>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</si>
  <si>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</si>
  <si>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</si>
  <si>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</si>
  <si>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</si>
  <si>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</si>
  <si>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</si>
  <si>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</si>
  <si>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</si>
  <si>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</si>
  <si>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</si>
  <si>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</si>
  <si>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</si>
  <si>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</si>
  <si>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</si>
  <si>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</si>
  <si>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</si>
  <si>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</si>
  <si>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</si>
  <si>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</si>
  <si>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</si>
  <si>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</si>
  <si>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</si>
  <si>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</si>
  <si>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</si>
  <si>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</si>
  <si>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</si>
  <si>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</si>
  <si>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</si>
  <si>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</si>
  <si>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</si>
  <si>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</si>
  <si>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</si>
  <si>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</si>
  <si>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</si>
  <si>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</si>
  <si>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</si>
  <si>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</si>
  <si>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</si>
  <si>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</si>
  <si>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</si>
  <si>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</si>
  <si>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</si>
  <si>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</si>
  <si>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</si>
  <si>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</si>
  <si>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</si>
  <si>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</si>
  <si>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</si>
  <si>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</si>
  <si>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</si>
  <si>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</si>
  <si>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</si>
  <si>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</si>
  <si>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</si>
  <si>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</si>
  <si>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</si>
  <si>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</si>
  <si>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</si>
  <si>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</si>
  <si>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</si>
  <si>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</si>
  <si>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</si>
  <si>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</si>
  <si>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</si>
  <si>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</si>
  <si>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</si>
  <si>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</si>
  <si>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</si>
  <si>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</si>
  <si>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</si>
  <si>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</si>
  <si>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</si>
  <si>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</si>
  <si>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</si>
  <si>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</si>
  <si>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</si>
  <si>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</si>
  <si>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</si>
  <si>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</si>
  <si>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</si>
  <si>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</si>
  <si>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</si>
  <si>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</si>
  <si>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</si>
  <si>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</si>
  <si>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</si>
  <si>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</si>
  <si>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</si>
  <si>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</si>
  <si>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</si>
  <si>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</si>
  <si>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</si>
  <si>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</si>
  <si>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</si>
  <si>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</si>
  <si>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</si>
  <si>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</si>
  <si>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</si>
  <si>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</si>
  <si>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</si>
  <si>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</si>
  <si>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</si>
  <si>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</si>
  <si>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</si>
  <si>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</si>
  <si>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</si>
  <si>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</si>
  <si>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</si>
  <si>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</si>
  <si>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</si>
  <si>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</si>
  <si>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</si>
  <si>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</si>
  <si>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</si>
  <si>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</si>
  <si>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</si>
  <si>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</si>
  <si>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</si>
  <si>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</si>
  <si>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</si>
  <si>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</si>
  <si>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</si>
  <si>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</si>
  <si>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</si>
  <si>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</si>
  <si>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</si>
  <si>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</si>
  <si>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</si>
  <si>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</si>
  <si>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</si>
  <si>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</si>
  <si>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</si>
  <si>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</si>
  <si>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</si>
  <si>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</si>
  <si>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</si>
  <si>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</si>
  <si>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</si>
  <si>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</si>
  <si>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</si>
  <si>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</si>
  <si>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</si>
  <si>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</si>
  <si>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</si>
  <si>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</si>
  <si>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</si>
  <si>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</si>
  <si>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</si>
  <si>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</si>
  <si>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</si>
  <si>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</si>
  <si>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</si>
  <si>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</si>
  <si>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</si>
  <si>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</si>
  <si>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</si>
  <si>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</si>
  <si>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</si>
  <si>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</si>
  <si>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</si>
  <si>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</si>
  <si>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</si>
  <si>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</si>
  <si>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</si>
  <si>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</si>
  <si>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</si>
  <si>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</si>
  <si>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</si>
  <si>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</si>
  <si>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</si>
  <si>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</si>
  <si>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</si>
  <si>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</si>
  <si>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</si>
  <si>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</si>
  <si>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</si>
  <si>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</si>
  <si>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</si>
  <si>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</si>
  <si>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</si>
  <si>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</si>
  <si>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</si>
  <si>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</si>
  <si>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</si>
  <si>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</si>
  <si>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</si>
  <si>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</si>
  <si>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</si>
  <si>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</si>
  <si>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</si>
  <si>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</si>
  <si>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</si>
  <si>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</si>
  <si>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</si>
  <si>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</si>
  <si>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</si>
  <si>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</si>
  <si>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</si>
  <si>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</si>
  <si>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</si>
  <si>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</si>
  <si>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</si>
  <si>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</si>
  <si>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</si>
  <si>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</si>
  <si>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</si>
  <si>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</si>
  <si>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</si>
  <si>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</si>
  <si>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</si>
  <si>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</si>
  <si>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</si>
  <si>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</si>
  <si>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</si>
  <si>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</si>
  <si>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</si>
  <si>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</si>
  <si>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</si>
  <si>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</si>
  <si>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</si>
  <si>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</si>
  <si>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</si>
  <si>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</si>
  <si>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</si>
  <si>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</si>
  <si>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</si>
  <si>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</si>
  <si>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</si>
  <si>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</si>
  <si>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</si>
  <si>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</si>
  <si>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</si>
  <si>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</si>
  <si>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</si>
  <si>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</si>
  <si>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</si>
  <si>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</si>
  <si>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</si>
  <si>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</si>
  <si>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</si>
  <si>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</si>
  <si>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</si>
  <si>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</si>
  <si>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</si>
  <si>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</si>
  <si>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</si>
  <si>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</si>
  <si>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</si>
  <si>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</si>
  <si>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</si>
  <si>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</si>
  <si>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</si>
  <si>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</si>
  <si>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</si>
  <si>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</si>
  <si>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</si>
  <si>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</si>
  <si>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</si>
  <si>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</si>
  <si>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</si>
  <si>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</si>
  <si>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</si>
  <si>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</si>
  <si>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</si>
  <si>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</si>
  <si>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</si>
  <si>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</si>
  <si>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</si>
  <si>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</si>
  <si>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</si>
  <si>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</si>
  <si>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</si>
  <si>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</si>
  <si>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</si>
  <si>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</si>
  <si>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</si>
  <si>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</si>
  <si>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</si>
  <si>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</si>
  <si>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</si>
  <si>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</si>
  <si>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</si>
  <si>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</si>
  <si>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</si>
  <si>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</si>
  <si>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</si>
  <si>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</si>
  <si>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</si>
  <si>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</si>
  <si>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</si>
  <si>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</si>
  <si>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</si>
  <si>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</si>
  <si>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</si>
  <si>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</si>
  <si>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</si>
  <si>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</si>
  <si>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</si>
  <si>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</si>
  <si>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</si>
  <si>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</si>
  <si>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</si>
  <si>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</si>
  <si>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</si>
  <si>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</si>
  <si>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</si>
  <si>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</si>
  <si>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</si>
  <si>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</si>
  <si>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</si>
  <si>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</si>
  <si>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</si>
  <si>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</si>
  <si>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</si>
  <si>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</si>
  <si>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</si>
  <si>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</si>
  <si>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</si>
  <si>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</si>
  <si>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</si>
  <si>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</si>
  <si>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</si>
  <si>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</si>
  <si>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</si>
  <si>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</si>
  <si>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</si>
  <si>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</si>
  <si>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</si>
  <si>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</si>
  <si>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</si>
  <si>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</si>
  <si>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</si>
  <si>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</si>
  <si>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</si>
  <si>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</si>
  <si>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</si>
  <si>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</si>
  <si>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</si>
  <si>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</si>
  <si>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</si>
  <si>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</si>
  <si>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</si>
  <si>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</si>
  <si>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</si>
  <si>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</si>
  <si>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</si>
  <si>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</si>
  <si>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</si>
  <si>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</si>
  <si>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</si>
  <si>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</si>
  <si>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</si>
  <si>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</si>
  <si>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</si>
  <si>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</si>
  <si>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</si>
  <si>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</si>
  <si>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</si>
  <si>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</si>
  <si>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</si>
  <si>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</si>
  <si>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</si>
  <si>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</si>
  <si>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</si>
  <si>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</si>
  <si>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</si>
  <si>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</si>
  <si>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</si>
  <si>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</si>
  <si>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</si>
  <si>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</si>
  <si>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</si>
  <si>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</si>
  <si>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</si>
  <si>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</si>
  <si>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</si>
  <si>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</si>
  <si>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</si>
  <si>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</si>
  <si>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</si>
  <si>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</si>
  <si>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</si>
  <si>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</si>
  <si>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</si>
  <si>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</si>
  <si>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</si>
  <si>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</si>
  <si>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</si>
  <si>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</si>
  <si>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</si>
  <si>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</si>
  <si>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</si>
  <si>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</si>
  <si>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</si>
  <si>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</si>
  <si>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</si>
  <si>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</si>
  <si>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</si>
  <si>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</si>
  <si>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</si>
  <si>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</si>
  <si>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</si>
  <si>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</si>
  <si>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</si>
  <si>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</si>
  <si>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</si>
  <si>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</si>
  <si>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</si>
  <si>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</si>
  <si>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</si>
  <si>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</si>
  <si>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</si>
  <si>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</si>
  <si>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</si>
  <si>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</si>
  <si>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</si>
  <si>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</si>
  <si>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</si>
  <si>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</si>
  <si>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</si>
  <si>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</si>
  <si>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</si>
  <si>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</si>
  <si>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</si>
  <si>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</si>
  <si>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</si>
  <si>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</si>
  <si>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</si>
  <si>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</si>
  <si>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</si>
  <si>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</si>
  <si>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</si>
  <si>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</si>
  <si>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</si>
  <si>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</si>
  <si>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</si>
  <si>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</si>
  <si>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</si>
  <si>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</si>
  <si>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</si>
  <si>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</si>
  <si>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</si>
  <si>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</si>
  <si>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</si>
  <si>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</si>
  <si>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</si>
  <si>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</si>
  <si>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</si>
  <si>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</si>
  <si>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</si>
  <si>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</si>
  <si>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</si>
  <si>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</si>
  <si>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</si>
  <si>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</si>
  <si>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</si>
  <si>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</si>
  <si>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</si>
  <si>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</si>
  <si>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</si>
  <si>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</si>
  <si>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</si>
  <si>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</si>
  <si>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</si>
  <si>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</si>
  <si>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</si>
  <si>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</si>
  <si>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</si>
  <si>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</si>
  <si>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</si>
  <si>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</si>
  <si>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</si>
  <si>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</si>
  <si>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</si>
  <si>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</si>
  <si>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</si>
  <si>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</si>
  <si>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</si>
  <si>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</si>
  <si>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</si>
  <si>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</si>
  <si>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</si>
  <si>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</si>
  <si>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</si>
  <si>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</si>
  <si>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</si>
  <si>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</si>
  <si>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</si>
  <si>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</si>
  <si>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</si>
  <si>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</si>
  <si>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</si>
  <si>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</si>
  <si>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</si>
  <si>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</si>
  <si>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</si>
  <si>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</si>
  <si>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</si>
  <si>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</si>
  <si>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</si>
  <si>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</si>
  <si>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</si>
  <si>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</si>
  <si>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</si>
  <si>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</si>
  <si>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</si>
  <si>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</si>
  <si>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</si>
  <si>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</si>
  <si>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</si>
  <si>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</si>
  <si>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</si>
  <si>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</si>
  <si>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</si>
  <si>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</si>
  <si>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</si>
  <si>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</si>
  <si>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</si>
  <si>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</si>
  <si>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</si>
  <si>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</si>
  <si>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</si>
  <si>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</si>
  <si>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</si>
  <si>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</si>
  <si>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</si>
  <si>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</si>
  <si>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</si>
  <si>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</si>
  <si>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</si>
  <si>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</si>
  <si>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</si>
  <si>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</si>
  <si>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</si>
  <si>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</si>
  <si>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</si>
  <si>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</si>
  <si>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</si>
  <si>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</si>
  <si>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</si>
  <si>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</si>
  <si>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</si>
  <si>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</si>
  <si>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</si>
  <si>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</si>
  <si>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</si>
  <si>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</si>
  <si>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</si>
  <si>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</si>
  <si>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</si>
  <si>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</si>
  <si>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</si>
  <si>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</si>
  <si>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</si>
  <si>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</si>
  <si>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</si>
  <si>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</si>
  <si>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</si>
  <si>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</si>
  <si>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</si>
  <si>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</si>
  <si>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</si>
  <si>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</si>
  <si>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</si>
  <si>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</si>
  <si>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</si>
  <si>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</si>
  <si>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</si>
  <si>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</si>
  <si>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</si>
  <si>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</si>
  <si>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</si>
  <si>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</si>
  <si>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</si>
  <si>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</si>
  <si>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</si>
  <si>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</si>
  <si>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</si>
  <si>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</si>
  <si>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</si>
  <si>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</si>
  <si>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</si>
  <si>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</si>
  <si>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</si>
  <si>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</si>
  <si>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</si>
  <si>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</si>
  <si>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</si>
  <si>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</si>
  <si>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</si>
  <si>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</si>
  <si>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</si>
  <si>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</si>
  <si>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</si>
  <si>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</si>
  <si>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</si>
  <si>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</si>
  <si>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</si>
  <si>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</si>
  <si>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</si>
  <si>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</si>
  <si>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</si>
  <si>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</si>
  <si>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</si>
  <si>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</si>
  <si>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</si>
  <si>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</si>
  <si>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</si>
  <si>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</si>
  <si>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</si>
  <si>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</si>
  <si>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</si>
  <si>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</si>
  <si>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</si>
  <si>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</si>
  <si>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</si>
  <si>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</si>
  <si>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</si>
  <si>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</si>
  <si>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</si>
  <si>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</si>
  <si>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</si>
  <si>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</si>
  <si>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</si>
  <si>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</si>
  <si>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</si>
  <si>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</si>
  <si>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</si>
  <si>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</si>
  <si>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</si>
  <si>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</si>
  <si>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</si>
  <si>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</si>
  <si>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</si>
  <si>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</si>
  <si>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</si>
  <si>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</si>
  <si>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</si>
  <si>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</si>
  <si>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</si>
  <si>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</si>
  <si>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</si>
  <si>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</si>
  <si>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</si>
  <si>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</si>
  <si>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</si>
  <si>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</si>
  <si>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</si>
  <si>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</si>
  <si>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</si>
  <si>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</si>
  <si>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</si>
  <si>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</si>
  <si>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</si>
  <si>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</si>
  <si>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</si>
  <si>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</si>
  <si>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</si>
  <si>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</si>
  <si>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</si>
  <si>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</si>
  <si>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</si>
  <si>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</si>
  <si>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</si>
  <si>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</si>
  <si>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</si>
  <si>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</si>
  <si>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</si>
  <si>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</si>
  <si>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</si>
  <si>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</si>
  <si>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</si>
  <si>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</si>
  <si>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</si>
  <si>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</si>
  <si>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</si>
  <si>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</si>
  <si>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</si>
  <si>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</si>
  <si>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</si>
  <si>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</si>
  <si>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</si>
  <si>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</si>
  <si>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</si>
  <si>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</si>
  <si>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</si>
  <si>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</si>
  <si>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</si>
  <si>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</si>
  <si>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</si>
  <si>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</si>
  <si>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</si>
  <si>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</si>
  <si>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</si>
  <si>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</si>
  <si>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</si>
  <si>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</si>
  <si>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</si>
  <si>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</si>
  <si>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</si>
  <si>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</si>
  <si>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</si>
  <si>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</si>
  <si>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</si>
  <si>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</si>
  <si>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</si>
  <si>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</si>
  <si>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</si>
  <si>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</si>
  <si>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</si>
  <si>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</si>
  <si>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</si>
  <si>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</si>
  <si>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</si>
  <si>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</si>
  <si>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</si>
  <si>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</si>
  <si>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</si>
  <si>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</si>
  <si>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</si>
  <si>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</si>
  <si>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</si>
  <si>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</si>
  <si>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</si>
  <si>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</si>
  <si>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</si>
  <si>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</si>
  <si>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</si>
  <si>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</si>
  <si>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</si>
  <si>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</si>
  <si>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</si>
  <si>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</si>
  <si>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</si>
  <si>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</si>
  <si>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</si>
  <si>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</si>
  <si>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</si>
  <si>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</si>
  <si>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</si>
  <si>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</si>
  <si>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</si>
  <si>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</si>
  <si>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</si>
  <si>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</si>
  <si>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</si>
  <si>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</si>
  <si>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</si>
  <si>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</si>
  <si>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</si>
  <si>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</si>
  <si>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</si>
  <si>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</si>
  <si>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</si>
  <si>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</si>
  <si>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</si>
  <si>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</si>
  <si>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</si>
  <si>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</si>
  <si>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</si>
  <si>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</si>
  <si>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</si>
  <si>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</si>
  <si>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</si>
  <si>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</si>
  <si>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</si>
  <si>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</si>
  <si>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</si>
  <si>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</si>
  <si>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</si>
  <si>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</si>
  <si>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</si>
  <si>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</si>
  <si>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</si>
  <si>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</si>
  <si>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</si>
  <si>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</si>
  <si>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</si>
  <si>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</si>
  <si>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</si>
  <si>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</si>
  <si>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</si>
  <si>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</si>
  <si>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</si>
  <si>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</si>
  <si>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</si>
  <si>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</si>
  <si>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</si>
  <si>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</si>
  <si>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</si>
  <si>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</si>
  <si>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</si>
  <si>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</si>
  <si>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</si>
  <si>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</si>
  <si>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</si>
  <si>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</si>
  <si>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</si>
  <si>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</si>
  <si>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</si>
  <si>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</si>
  <si>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</si>
  <si>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</si>
  <si>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</si>
  <si>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</si>
  <si>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</si>
  <si>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</si>
  <si>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</si>
  <si>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</si>
  <si>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</si>
  <si>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</si>
  <si>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</si>
  <si>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</si>
  <si>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</si>
  <si>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</si>
  <si>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</si>
  <si>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</si>
  <si>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</si>
  <si>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</si>
  <si>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</si>
  <si>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</si>
  <si>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</si>
  <si>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</si>
  <si>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</si>
  <si>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</si>
  <si>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</si>
  <si>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</si>
  <si>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</si>
  <si>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</si>
  <si>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</si>
  <si>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</si>
  <si>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</si>
  <si>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</si>
  <si>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</si>
  <si>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</si>
  <si>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</si>
  <si>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</si>
  <si>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</si>
  <si>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</si>
  <si>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</si>
  <si>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</si>
  <si>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</si>
  <si>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</si>
  <si>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</si>
  <si>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</si>
  <si>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</si>
  <si>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</si>
  <si>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</si>
  <si>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</si>
  <si>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</si>
  <si>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</si>
  <si>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</si>
  <si>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</si>
  <si>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</si>
  <si>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</si>
  <si>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</si>
  <si>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</si>
  <si>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</si>
  <si>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</si>
  <si>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</si>
  <si>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</si>
  <si>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</si>
  <si>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</si>
  <si>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</si>
  <si>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</si>
  <si>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</si>
  <si>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</si>
  <si>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</si>
  <si>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</si>
  <si>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</si>
  <si>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</si>
  <si>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</si>
  <si>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</si>
  <si>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</si>
  <si>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</si>
  <si>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</si>
  <si>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</si>
  <si>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</si>
  <si>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</si>
  <si>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</si>
  <si>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</si>
  <si>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</si>
  <si>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</si>
  <si>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</si>
  <si>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</si>
  <si>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</si>
  <si>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</si>
  <si>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</si>
  <si>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</si>
  <si>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</si>
  <si>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</si>
  <si>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</si>
  <si>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</si>
  <si>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</si>
  <si>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</si>
  <si>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</si>
  <si>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</si>
  <si>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</si>
  <si>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</si>
  <si>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</si>
  <si>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</si>
  <si>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</si>
  <si>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</si>
  <si>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</si>
  <si>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</si>
  <si>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</si>
  <si>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</si>
  <si>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</si>
  <si>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</si>
  <si>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</si>
  <si>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</si>
  <si>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</si>
  <si>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</si>
  <si>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</si>
  <si>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</si>
  <si>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</si>
  <si>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</si>
  <si>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</si>
  <si>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</si>
  <si>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</si>
  <si>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</si>
  <si>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</si>
  <si>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</si>
  <si>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</si>
  <si>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</si>
  <si>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</si>
  <si>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</si>
  <si>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</si>
  <si>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</si>
  <si>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</si>
  <si>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</si>
  <si>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</si>
  <si>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</si>
  <si>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</si>
  <si>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</si>
  <si>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</si>
  <si>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</si>
  <si>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</si>
  <si>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</si>
  <si>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</si>
  <si>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</si>
  <si>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</si>
  <si>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</si>
  <si>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</si>
  <si>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</si>
  <si>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</si>
  <si>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</si>
  <si>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</si>
  <si>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</si>
  <si>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</si>
  <si>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</si>
  <si>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</si>
  <si>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</si>
  <si>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</si>
  <si>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</si>
  <si>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</si>
  <si>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</si>
  <si>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</si>
  <si>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</si>
  <si>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</si>
  <si>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</si>
  <si>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</si>
  <si>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</si>
  <si>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</si>
  <si>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</si>
  <si>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</si>
  <si>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</si>
  <si>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</si>
  <si>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</si>
  <si>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</si>
  <si>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</si>
  <si>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</si>
  <si>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</si>
  <si>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</si>
  <si>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</si>
  <si>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</si>
  <si>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</si>
  <si>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</si>
  <si>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</si>
  <si>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</si>
  <si>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</si>
  <si>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</si>
  <si>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</si>
  <si>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</si>
  <si>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</si>
  <si>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</si>
  <si>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</si>
  <si>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</si>
  <si>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</si>
  <si>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</si>
  <si>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</si>
  <si>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</si>
  <si>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</si>
  <si>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</si>
  <si>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</si>
  <si>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</si>
  <si>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</si>
  <si>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</si>
  <si>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</si>
  <si>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</si>
  <si>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</si>
  <si>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</si>
  <si>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</si>
  <si>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</si>
  <si>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</si>
  <si>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</si>
  <si>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</si>
  <si>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</si>
  <si>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</si>
  <si>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</si>
  <si>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</si>
  <si>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</si>
  <si>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</si>
  <si>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</si>
  <si>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</si>
  <si>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</si>
  <si>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</si>
  <si>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</si>
  <si>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</si>
  <si>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</si>
  <si>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</si>
  <si>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</si>
  <si>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</si>
  <si>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</si>
  <si>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</si>
  <si>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</si>
  <si>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</si>
  <si>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</si>
  <si>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</si>
  <si>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</si>
  <si>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</si>
  <si>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</si>
  <si>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</si>
  <si>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</si>
  <si>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</si>
  <si>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</si>
  <si>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</si>
  <si>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</si>
  <si>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</si>
  <si>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</si>
  <si>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</si>
  <si>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</si>
  <si>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</si>
  <si>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</si>
  <si>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</si>
  <si>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</si>
  <si>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</si>
  <si>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</si>
  <si>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</si>
  <si>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</si>
  <si>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</si>
  <si>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</si>
  <si>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</si>
  <si>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</si>
  <si>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</si>
  <si>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</si>
  <si>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</si>
  <si>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</si>
  <si>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</si>
  <si>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</si>
  <si>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</si>
  <si>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</si>
  <si>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</si>
  <si>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</si>
  <si>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</si>
  <si>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</si>
  <si>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</si>
  <si>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</si>
  <si>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</si>
  <si>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</si>
  <si>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</si>
  <si>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</si>
  <si>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</si>
  <si>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</si>
  <si>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</si>
  <si>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</si>
  <si>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</si>
  <si>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</si>
  <si>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</si>
  <si>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</si>
  <si>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</si>
  <si>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</si>
  <si>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</si>
  <si>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</si>
  <si>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</si>
  <si>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</si>
  <si>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</si>
  <si>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</si>
  <si>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</si>
  <si>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</si>
  <si>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</si>
  <si>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</si>
  <si>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</si>
  <si>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</si>
  <si>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</si>
  <si>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</si>
  <si>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</si>
  <si>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</si>
  <si>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</si>
  <si>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</si>
  <si>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</si>
  <si>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</si>
  <si>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</si>
  <si>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</si>
  <si>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</si>
  <si>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</si>
  <si>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</si>
  <si>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</si>
  <si>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</si>
  <si>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</si>
  <si>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</si>
  <si>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</si>
  <si>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</si>
  <si>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</si>
  <si>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</si>
  <si>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</si>
  <si>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</si>
  <si>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</si>
  <si>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</si>
  <si>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</si>
  <si>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</si>
  <si>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</si>
  <si>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</si>
  <si>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</si>
  <si>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</si>
  <si>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</si>
  <si>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</si>
  <si>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</si>
  <si>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</si>
  <si>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</si>
  <si>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</si>
  <si>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</si>
  <si>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</si>
  <si>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</si>
  <si>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</si>
  <si>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</si>
  <si>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</si>
  <si>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</si>
  <si>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</si>
  <si>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</si>
  <si>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</si>
  <si>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</si>
  <si>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</si>
  <si>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</si>
  <si>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</si>
  <si>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</si>
  <si>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</si>
  <si>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</si>
  <si>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</si>
  <si>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</si>
  <si>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</si>
  <si>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</si>
  <si>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</si>
  <si>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</si>
  <si>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</si>
  <si>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</si>
  <si>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</si>
  <si>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</si>
  <si>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</si>
  <si>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</si>
  <si>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</si>
  <si>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</si>
  <si>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</si>
  <si>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</si>
  <si>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</si>
  <si>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</si>
  <si>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</si>
  <si>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</si>
  <si>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</si>
  <si>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</si>
  <si>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</si>
  <si>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</si>
  <si>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</si>
  <si>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</si>
  <si>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</si>
  <si>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</si>
  <si>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</si>
  <si>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</si>
  <si>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</si>
  <si>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</si>
  <si>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</si>
  <si>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</si>
  <si>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</si>
  <si>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</si>
  <si>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</si>
  <si>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</si>
  <si>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</si>
  <si>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</si>
  <si>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</si>
  <si>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</si>
  <si>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</si>
  <si>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</si>
  <si>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</si>
  <si>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</si>
  <si>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</si>
  <si>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</si>
  <si>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</si>
  <si>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</si>
  <si>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</si>
  <si>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</si>
  <si>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</si>
  <si>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</si>
  <si>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</si>
  <si>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</si>
  <si>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</si>
  <si>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</si>
  <si>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</si>
  <si>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</si>
  <si>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</si>
  <si>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</si>
  <si>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</si>
  <si>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</si>
  <si>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</si>
  <si>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</si>
  <si>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</si>
  <si>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</si>
  <si>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</si>
  <si>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</si>
  <si>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</si>
  <si>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</si>
  <si>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</si>
  <si>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</si>
  <si>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</si>
  <si>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</si>
  <si>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</si>
  <si>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</si>
  <si>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</si>
  <si>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</si>
  <si>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</si>
  <si>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</si>
  <si>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</si>
  <si>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</si>
  <si>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</si>
  <si>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</si>
  <si>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</si>
  <si>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</si>
  <si>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</si>
  <si>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</si>
  <si>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</si>
  <si>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</si>
  <si>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</si>
  <si>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</si>
  <si>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</si>
  <si>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</si>
  <si>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</si>
  <si>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</si>
  <si>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</si>
  <si>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</si>
  <si>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</si>
  <si>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</si>
  <si>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</si>
  <si>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</si>
  <si>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</si>
  <si>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</si>
  <si>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</si>
  <si>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</si>
  <si>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</si>
  <si>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</si>
  <si>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</si>
  <si>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</si>
  <si>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</si>
  <si>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</si>
  <si>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</si>
  <si>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</si>
  <si>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</si>
  <si>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</si>
  <si>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</si>
  <si>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</si>
  <si>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</si>
  <si>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</si>
  <si>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</si>
  <si>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</si>
  <si>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</si>
  <si>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</si>
  <si>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</si>
  <si>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</si>
  <si>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</si>
  <si>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</si>
  <si>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</si>
  <si>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</si>
  <si>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</si>
  <si>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</si>
  <si>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</si>
  <si>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</si>
  <si>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</si>
  <si>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</si>
  <si>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</si>
  <si>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</si>
  <si>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</si>
  <si>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</si>
  <si>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</si>
  <si>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</si>
  <si>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</si>
  <si>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</si>
  <si>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</si>
  <si>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</si>
  <si>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</si>
  <si>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</si>
  <si>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</si>
  <si>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</si>
  <si>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</si>
  <si>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</si>
  <si>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</si>
  <si>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</si>
  <si>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</si>
  <si>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</si>
  <si>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</si>
  <si>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</si>
  <si>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</si>
  <si>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</si>
  <si>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</si>
  <si>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</si>
  <si>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</si>
  <si>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</si>
  <si>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</si>
  <si>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</si>
  <si>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</si>
  <si>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</si>
  <si>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</si>
  <si>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</si>
  <si>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</si>
  <si>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</si>
  <si>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</si>
  <si>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</si>
  <si>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</si>
  <si>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</si>
  <si>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</si>
  <si>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</si>
  <si>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</si>
  <si>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</si>
  <si>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</si>
  <si>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</si>
  <si>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</si>
  <si>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</si>
  <si>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</si>
  <si>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</si>
  <si>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</si>
  <si>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</si>
  <si>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</si>
  <si>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</si>
  <si>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</si>
  <si>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</si>
  <si>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</si>
  <si>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</si>
  <si>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</si>
  <si>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</si>
  <si>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</si>
  <si>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</si>
  <si>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</si>
  <si>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</si>
  <si>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</si>
  <si>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</si>
  <si>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</si>
  <si>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</si>
  <si>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</si>
  <si>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</si>
  <si>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</si>
  <si>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</si>
  <si>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</si>
  <si>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</si>
  <si>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</si>
  <si>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</si>
  <si>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</si>
  <si>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</si>
  <si>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</si>
  <si>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</si>
  <si>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</si>
  <si>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</si>
  <si>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</si>
  <si>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</si>
  <si>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</si>
  <si>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</si>
  <si>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</si>
  <si>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</si>
  <si>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</si>
  <si>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</si>
  <si>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</si>
  <si>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</si>
  <si>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</si>
  <si>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</si>
  <si>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</si>
  <si>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</si>
  <si>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</si>
  <si>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</si>
  <si>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</si>
  <si>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</si>
  <si>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</si>
  <si>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</si>
  <si>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</si>
  <si>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</si>
  <si>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</si>
  <si>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</si>
  <si>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</si>
  <si>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</si>
  <si>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</si>
  <si>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</si>
  <si>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</si>
  <si>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</si>
  <si>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</si>
  <si>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</si>
  <si>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</si>
  <si>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</si>
  <si>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</si>
  <si>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</si>
  <si>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</si>
  <si>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</si>
  <si>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</si>
  <si>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</si>
  <si>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</si>
  <si>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</si>
  <si>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</si>
  <si>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</si>
  <si>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</si>
  <si>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</si>
  <si>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</si>
  <si>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</si>
  <si>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</si>
  <si>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</si>
  <si>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</si>
  <si>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</si>
  <si>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</si>
  <si>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</si>
  <si>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</si>
  <si>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</si>
  <si>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</si>
  <si>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</si>
  <si>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</si>
  <si>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</si>
  <si>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</si>
  <si>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</si>
  <si>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</si>
  <si>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</si>
  <si>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</si>
  <si>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</si>
  <si>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</si>
  <si>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</si>
  <si>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</si>
  <si>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</si>
  <si>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</si>
  <si>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</si>
  <si>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</si>
  <si>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</si>
  <si>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</si>
  <si>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</si>
  <si>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</si>
  <si>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</si>
  <si>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</si>
  <si>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</si>
  <si>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</si>
  <si>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</si>
  <si>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</si>
  <si>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</si>
  <si>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</si>
  <si>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</si>
  <si>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</si>
  <si>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</si>
  <si>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</si>
  <si>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</si>
  <si>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</si>
  <si>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</si>
  <si>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</si>
  <si>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</si>
  <si>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</si>
  <si>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</si>
  <si>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</si>
  <si>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</si>
  <si>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</si>
  <si>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</si>
  <si>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</si>
  <si>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</si>
  <si>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</si>
  <si>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</si>
  <si>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</si>
  <si>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</si>
  <si>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</si>
  <si>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</si>
  <si>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</si>
  <si>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</si>
  <si>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</si>
  <si>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</si>
  <si>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</si>
  <si>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</si>
  <si>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</si>
  <si>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</si>
  <si>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</si>
  <si>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</si>
  <si>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</si>
  <si>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</si>
  <si>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</si>
  <si>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</si>
  <si>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</si>
  <si>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</si>
  <si>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</si>
  <si>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</si>
  <si>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</si>
  <si>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</si>
  <si>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</si>
  <si>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</si>
  <si>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</si>
  <si>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</si>
  <si>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</si>
  <si>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</si>
  <si>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</si>
  <si>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</si>
  <si>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</si>
  <si>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</si>
  <si>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</si>
  <si>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</si>
  <si>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</si>
  <si>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</si>
  <si>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</si>
  <si>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</si>
  <si>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</si>
  <si>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</si>
  <si>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</si>
  <si>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</si>
  <si>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</si>
  <si>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</si>
  <si>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</si>
  <si>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</si>
  <si>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</si>
  <si>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</si>
  <si>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</si>
  <si>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</si>
  <si>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</si>
  <si>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</si>
  <si>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</si>
  <si>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</si>
  <si>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</si>
  <si>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</si>
  <si>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</si>
  <si>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</si>
  <si>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</si>
  <si>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</si>
  <si>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</si>
  <si>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</si>
  <si>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</si>
  <si>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</si>
  <si>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</si>
  <si>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</si>
  <si>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</si>
  <si>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</si>
  <si>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</si>
  <si>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</si>
  <si>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</si>
  <si>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</si>
  <si>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</si>
  <si>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</si>
  <si>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</si>
  <si>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</si>
  <si>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</si>
  <si>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</si>
  <si>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</si>
  <si>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</si>
  <si>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</si>
  <si>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</si>
  <si>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</si>
  <si>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</si>
  <si>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</si>
  <si>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</si>
  <si>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</si>
  <si>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</si>
  <si>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</si>
  <si>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</si>
  <si>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</si>
  <si>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</si>
  <si>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</si>
  <si>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</si>
  <si>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</si>
  <si>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</si>
  <si>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</si>
  <si>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</si>
  <si>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</si>
  <si>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</si>
  <si>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</si>
  <si>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</si>
  <si>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</si>
  <si>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</si>
  <si>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</si>
  <si>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</si>
  <si>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</si>
  <si>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</si>
  <si>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</si>
  <si>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</si>
  <si>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</si>
  <si>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</si>
  <si>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</si>
  <si>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</si>
  <si>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</si>
  <si>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</si>
  <si>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</si>
  <si>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</si>
  <si>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</si>
  <si>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</si>
  <si>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</si>
  <si>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</si>
  <si>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</si>
  <si>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</si>
  <si>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</si>
  <si>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</si>
  <si>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</si>
  <si>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</si>
  <si>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</si>
  <si>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</si>
  <si>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</si>
  <si>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</si>
  <si>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</si>
  <si>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</si>
  <si>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</si>
  <si>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</si>
  <si>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</si>
  <si>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</si>
  <si>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</si>
  <si>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</si>
  <si>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</si>
  <si>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</si>
  <si>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</si>
  <si>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</si>
  <si>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</si>
  <si>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</si>
  <si>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</si>
  <si>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</si>
  <si>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</si>
  <si>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</si>
  <si>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</si>
  <si>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</si>
  <si>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</si>
  <si>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</si>
  <si>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</si>
  <si>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</si>
  <si>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</si>
  <si>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</si>
  <si>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</si>
  <si>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</si>
  <si>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</si>
  <si>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</si>
  <si>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</si>
  <si>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</si>
  <si>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</si>
  <si>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</si>
  <si>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</si>
  <si>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</si>
  <si>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</si>
  <si>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</si>
  <si>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</si>
  <si>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</si>
  <si>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</si>
  <si>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</si>
  <si>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</si>
  <si>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</si>
  <si>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</si>
  <si>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</si>
  <si>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</si>
  <si>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</si>
  <si>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</si>
  <si>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</si>
  <si>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</si>
  <si>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</si>
  <si>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</si>
  <si>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</si>
  <si>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</si>
  <si>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</si>
  <si>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</si>
  <si>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</si>
  <si>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</si>
  <si>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</si>
  <si>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</si>
  <si>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</si>
  <si>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</si>
  <si>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</si>
  <si>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</si>
  <si>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</si>
  <si>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</si>
  <si>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</si>
  <si>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</si>
  <si>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</si>
  <si>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</si>
  <si>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</si>
  <si>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</si>
  <si>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</si>
  <si>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</si>
  <si>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</si>
  <si>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</si>
  <si>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</si>
  <si>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</si>
  <si>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</si>
  <si>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</si>
  <si>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</si>
  <si>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</si>
  <si>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</si>
  <si>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</si>
  <si>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</si>
  <si>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</si>
  <si>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</si>
  <si>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</si>
  <si>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</si>
  <si>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</si>
  <si>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</si>
  <si>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</si>
  <si>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</si>
  <si>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</si>
  <si>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</si>
  <si>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</si>
  <si>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</si>
  <si>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</si>
  <si>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</si>
  <si>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</si>
  <si>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</si>
  <si>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</si>
  <si>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</si>
  <si>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</si>
  <si>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</si>
  <si>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</si>
  <si>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</si>
  <si>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</si>
  <si>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</si>
  <si>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</si>
  <si>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</si>
  <si>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</si>
  <si>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</si>
  <si>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</si>
  <si>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</si>
  <si>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</si>
  <si>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</si>
  <si>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</si>
  <si>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</si>
  <si>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</si>
  <si>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</si>
  <si>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</si>
  <si>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</si>
  <si>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</si>
  <si>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</si>
  <si>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</si>
  <si>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</si>
  <si>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</si>
  <si>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</si>
  <si>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</si>
  <si>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</si>
  <si>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</si>
  <si>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</si>
  <si>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</si>
  <si>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</si>
  <si>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</si>
  <si>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</si>
  <si>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</si>
  <si>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</si>
  <si>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</si>
  <si>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</si>
  <si>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</si>
  <si>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</si>
  <si>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</si>
  <si>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</si>
  <si>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</si>
  <si>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</si>
  <si>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</si>
  <si>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</si>
  <si>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</si>
  <si>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</si>
  <si>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</si>
  <si>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</si>
  <si>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</si>
  <si>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</si>
  <si>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</si>
  <si>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</si>
  <si>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</si>
  <si>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</si>
  <si>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</si>
  <si>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</si>
  <si>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</si>
  <si>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</si>
  <si>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</si>
  <si>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</si>
  <si>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</si>
  <si>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</si>
  <si>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</si>
  <si>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</si>
  <si>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</si>
  <si>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</si>
  <si>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</si>
  <si>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</si>
  <si>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</si>
  <si>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</si>
  <si>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</si>
  <si>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</si>
  <si>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</si>
  <si>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</si>
  <si>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</si>
  <si>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</si>
  <si>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</si>
  <si>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</si>
  <si>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</si>
  <si>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</si>
  <si>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</si>
  <si>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</si>
  <si>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</si>
  <si>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</si>
  <si>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</si>
  <si>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</si>
  <si>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</si>
  <si>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</si>
  <si>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</si>
  <si>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</si>
  <si>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</si>
  <si>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</si>
  <si>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</si>
  <si>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</si>
  <si>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</si>
  <si>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</si>
  <si>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</si>
  <si>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</si>
  <si>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</si>
  <si>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</si>
  <si>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</si>
  <si>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</si>
  <si>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</si>
  <si>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</si>
  <si>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</si>
  <si>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</si>
  <si>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</si>
  <si>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</si>
  <si>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</si>
  <si>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</si>
  <si>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</si>
  <si>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</si>
  <si>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</si>
  <si>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</si>
  <si>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</si>
  <si>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</si>
  <si>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</si>
  <si>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</si>
  <si>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</si>
  <si>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</si>
  <si>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</si>
  <si>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</si>
  <si>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</si>
  <si>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</si>
  <si>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</si>
  <si>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</si>
  <si>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</si>
  <si>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</si>
  <si>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</si>
  <si>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</si>
  <si>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</si>
  <si>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</si>
  <si>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</si>
  <si>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</si>
  <si>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</si>
  <si>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</si>
  <si>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</si>
  <si>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</si>
  <si>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</si>
  <si>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</si>
  <si>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</si>
  <si>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</si>
  <si>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</si>
  <si>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</si>
  <si>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</si>
  <si>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</si>
  <si>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</si>
  <si>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</si>
  <si>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</si>
  <si>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</si>
  <si>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</si>
  <si>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</si>
  <si>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</si>
  <si>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</si>
  <si>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</si>
  <si>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</si>
  <si>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</si>
  <si>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</si>
  <si>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</si>
  <si>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</si>
  <si>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</si>
  <si>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</si>
  <si>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</si>
  <si>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</si>
  <si>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</si>
  <si>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</si>
  <si>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</si>
  <si>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</si>
  <si>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</si>
  <si>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</si>
  <si>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</si>
  <si>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</si>
  <si>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</si>
  <si>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</si>
  <si>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</si>
  <si>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</si>
  <si>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</si>
  <si>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</si>
  <si>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</si>
  <si>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</si>
  <si>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</si>
  <si>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</si>
  <si>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</si>
  <si>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</si>
  <si>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</si>
  <si>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</si>
  <si>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</si>
  <si>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</si>
  <si>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</si>
  <si>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</si>
  <si>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</si>
  <si>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</si>
  <si>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</si>
  <si>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</si>
  <si>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</si>
  <si>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</si>
  <si>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</si>
  <si>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</si>
  <si>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</si>
  <si>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</si>
  <si>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</si>
  <si>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</si>
  <si>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</si>
  <si>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</si>
  <si>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</si>
  <si>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</si>
  <si>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</si>
  <si>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</si>
  <si>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</si>
  <si>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</si>
  <si>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</si>
  <si>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</si>
  <si>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</si>
  <si>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</si>
  <si>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</si>
  <si>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</si>
  <si>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</si>
  <si>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</si>
  <si>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</si>
  <si>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</si>
  <si>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</si>
  <si>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</si>
  <si>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</si>
  <si>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</si>
  <si>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</si>
  <si>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</si>
  <si>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</si>
  <si>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</si>
  <si>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</si>
  <si>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</si>
  <si>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</si>
  <si>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</si>
  <si>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</si>
  <si>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</si>
  <si>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</si>
  <si>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</si>
  <si>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</si>
  <si>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</si>
  <si>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</si>
  <si>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</si>
  <si>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</si>
  <si>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</si>
  <si>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</si>
  <si>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</si>
  <si>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</si>
  <si>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</si>
  <si>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</si>
  <si>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</si>
  <si>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</si>
  <si>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</si>
  <si>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</si>
  <si>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</si>
  <si>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</si>
  <si>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</si>
  <si>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</si>
  <si>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</si>
  <si>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</si>
  <si>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</si>
  <si>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</si>
  <si>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</si>
  <si>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</si>
  <si>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</si>
  <si>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</si>
  <si>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</si>
  <si>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</si>
  <si>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</si>
  <si>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</si>
  <si>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</si>
  <si>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</si>
  <si>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</si>
  <si>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</si>
  <si>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</si>
  <si>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</si>
  <si>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</si>
  <si>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</si>
  <si>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</si>
  <si>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</si>
  <si>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</si>
  <si>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</si>
  <si>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</si>
  <si>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</si>
  <si>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</si>
  <si>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</si>
  <si>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</si>
  <si>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</si>
  <si>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</si>
  <si>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</si>
  <si>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</si>
  <si>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</si>
  <si>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</si>
  <si>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</si>
  <si>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</si>
  <si>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</si>
  <si>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</si>
  <si>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</si>
  <si>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</si>
  <si>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</si>
  <si>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</si>
  <si>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</si>
  <si>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</si>
  <si>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</si>
  <si>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</si>
  <si>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</si>
  <si>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</si>
  <si>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</si>
  <si>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</si>
  <si>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</si>
  <si>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</si>
  <si>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</si>
  <si>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</si>
  <si>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</si>
  <si>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</si>
  <si>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</si>
  <si>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</si>
  <si>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</si>
  <si>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</si>
  <si>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</si>
  <si>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</si>
  <si>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</si>
  <si>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</si>
  <si>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</si>
  <si>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</si>
  <si>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</si>
  <si>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</si>
  <si>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</si>
  <si>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</si>
  <si>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</si>
  <si>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</si>
  <si>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</si>
  <si>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</si>
  <si>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</si>
  <si>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</si>
  <si>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</si>
  <si>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</si>
  <si>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</si>
  <si>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</si>
  <si>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</si>
  <si>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</si>
  <si>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</si>
  <si>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</si>
  <si>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</si>
  <si>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</si>
  <si>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</si>
  <si>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</si>
  <si>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</si>
  <si>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</si>
  <si>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</si>
  <si>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</si>
  <si>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</si>
  <si>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</si>
  <si>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</si>
  <si>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</si>
  <si>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</si>
  <si>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</si>
  <si>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</si>
  <si>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</si>
  <si>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</si>
  <si>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</si>
  <si>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</si>
  <si>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</si>
  <si>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</si>
  <si>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</si>
  <si>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</si>
  <si>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</si>
  <si>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</si>
  <si>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</si>
  <si>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</si>
  <si>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</si>
  <si>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</si>
  <si>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</si>
  <si>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</si>
  <si>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</si>
  <si>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</si>
  <si>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</si>
  <si>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</si>
  <si>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</si>
  <si>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</si>
  <si>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</si>
  <si>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</si>
  <si>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</si>
  <si>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</si>
  <si>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</si>
  <si>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</si>
  <si>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</si>
  <si>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</si>
  <si>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</si>
  <si>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</si>
  <si>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</si>
  <si>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</si>
  <si>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</si>
  <si>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</si>
  <si>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</si>
  <si>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</si>
  <si>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</si>
  <si>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</si>
  <si>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</si>
  <si>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</si>
  <si>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</si>
  <si>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</si>
  <si>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</si>
  <si>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</si>
  <si>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</si>
  <si>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</si>
  <si>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</si>
  <si>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</si>
  <si>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</si>
  <si>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</si>
  <si>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</si>
  <si>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</si>
  <si>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</si>
  <si>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</si>
  <si>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</si>
  <si>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</si>
  <si>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</si>
  <si>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</si>
  <si>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</si>
  <si>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</si>
  <si>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</si>
  <si>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</si>
  <si>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</si>
  <si>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</si>
  <si>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</si>
  <si>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</si>
  <si>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</si>
  <si>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</si>
  <si>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</si>
  <si>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</si>
  <si>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</si>
  <si>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</si>
  <si>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</si>
  <si>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</si>
  <si>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</si>
  <si>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</si>
  <si>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</si>
  <si>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</si>
  <si>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</si>
  <si>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</si>
  <si>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</si>
  <si>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</si>
  <si>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</si>
  <si>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</si>
  <si>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</si>
  <si>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</si>
  <si>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</si>
  <si>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</si>
  <si>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</si>
  <si>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</si>
  <si>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</si>
  <si>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</si>
  <si>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</si>
  <si>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</si>
  <si>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</si>
  <si>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</si>
  <si>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</si>
  <si>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</si>
  <si>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</si>
  <si>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</si>
  <si>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</si>
  <si>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</si>
  <si>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</si>
  <si>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</si>
  <si>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</si>
  <si>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</si>
  <si>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</si>
  <si>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</si>
  <si>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</si>
  <si>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</si>
  <si>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</si>
  <si>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</si>
  <si>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</si>
  <si>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</si>
  <si>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</si>
  <si>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</si>
  <si>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</si>
  <si>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</si>
  <si>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</si>
  <si>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</si>
  <si>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</si>
  <si>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</si>
  <si>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</si>
  <si>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</si>
  <si>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</si>
  <si>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</si>
  <si>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</si>
  <si>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</si>
  <si>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</si>
  <si>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</si>
  <si>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</si>
  <si>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</si>
  <si>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</si>
  <si>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</si>
  <si>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</si>
  <si>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</si>
  <si>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</si>
  <si>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</si>
  <si>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</si>
  <si>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</si>
  <si>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</si>
  <si>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</si>
  <si>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</si>
  <si>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</si>
  <si>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</si>
  <si>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</si>
  <si>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</si>
  <si>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</si>
  <si>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</si>
  <si>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</si>
  <si>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</si>
  <si>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</si>
  <si>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</si>
  <si>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</si>
  <si>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</si>
  <si>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</si>
  <si>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</si>
  <si>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</si>
  <si>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</si>
  <si>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</si>
  <si>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</si>
  <si>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</si>
  <si>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</si>
  <si>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</si>
  <si>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</si>
  <si>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</si>
  <si>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</si>
  <si>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</si>
  <si>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</si>
  <si>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</si>
  <si>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</si>
  <si>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</si>
  <si>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</si>
  <si>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</si>
  <si>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</si>
  <si>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</si>
  <si>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</si>
  <si>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</si>
  <si>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</si>
  <si>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</si>
  <si>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</si>
  <si>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</si>
  <si>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</si>
  <si>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</si>
  <si>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</si>
  <si>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</si>
  <si>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</si>
  <si>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</si>
  <si>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</si>
  <si>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</si>
  <si>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</si>
  <si>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</si>
  <si>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</si>
  <si>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</si>
  <si>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</si>
  <si>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</si>
  <si>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</si>
  <si>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</si>
  <si>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</si>
  <si>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</si>
  <si>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</si>
  <si>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</si>
  <si>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</si>
  <si>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</si>
  <si>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</si>
  <si>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</si>
  <si>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</si>
  <si>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</si>
  <si>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</si>
  <si>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</si>
  <si>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</si>
  <si>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</si>
  <si>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</si>
  <si>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</si>
  <si>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</si>
  <si>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</si>
  <si>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</si>
  <si>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</si>
  <si>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</si>
  <si>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</si>
  <si>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</si>
  <si>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</si>
  <si>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</si>
  <si>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</si>
  <si>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</si>
  <si>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</si>
  <si>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</si>
  <si>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</si>
  <si>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</si>
  <si>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</si>
  <si>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</si>
  <si>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</si>
  <si>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</si>
  <si>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</si>
  <si>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</si>
  <si>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</si>
  <si>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</si>
  <si>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</si>
  <si>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</si>
  <si>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</si>
  <si>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</si>
  <si>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</si>
  <si>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</si>
  <si>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</si>
  <si>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</si>
  <si>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</si>
  <si>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</si>
  <si>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</si>
  <si>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</si>
  <si>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</si>
  <si>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</si>
  <si>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</si>
  <si>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</si>
  <si>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</si>
  <si>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</si>
  <si>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</si>
  <si>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</si>
  <si>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</si>
  <si>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</si>
  <si>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</si>
  <si>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</si>
  <si>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</si>
  <si>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</si>
  <si>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</si>
  <si>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</si>
  <si>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</si>
  <si>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</si>
  <si>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</si>
  <si>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</si>
  <si>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</si>
  <si>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</si>
  <si>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</si>
  <si>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</si>
  <si>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</si>
  <si>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</si>
  <si>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</si>
  <si>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</si>
  <si>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</si>
  <si>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</si>
  <si>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</si>
  <si>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</si>
  <si>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</si>
  <si>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</si>
  <si>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</si>
  <si>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</si>
  <si>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</si>
  <si>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</si>
  <si>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</si>
  <si>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</si>
  <si>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</si>
  <si>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</si>
  <si>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</si>
  <si>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</si>
  <si>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</si>
  <si>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</si>
  <si>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</si>
  <si>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</si>
  <si>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</si>
  <si>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</si>
  <si>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</si>
  <si>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</si>
  <si>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</si>
  <si>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</si>
  <si>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</si>
  <si>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</si>
  <si>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</si>
  <si>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</si>
  <si>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</si>
  <si>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</si>
  <si>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</si>
  <si>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</si>
  <si>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</si>
  <si>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</si>
  <si>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</si>
  <si>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</si>
  <si>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</si>
  <si>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</si>
  <si>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</si>
  <si>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</si>
  <si>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</si>
  <si>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</si>
  <si>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</si>
  <si>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</si>
  <si>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</si>
  <si>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</si>
  <si>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</si>
  <si>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</si>
  <si>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</si>
  <si>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</si>
  <si>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</si>
  <si>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</si>
  <si>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</si>
  <si>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</si>
  <si>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</si>
  <si>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</si>
  <si>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</si>
  <si>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</si>
  <si>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</si>
  <si>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</si>
  <si>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</si>
  <si>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</si>
  <si>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</si>
  <si>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</si>
  <si>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</si>
  <si>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</si>
  <si>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</si>
  <si>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</si>
  <si>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</si>
  <si>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</si>
  <si>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</si>
  <si>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</si>
  <si>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</si>
  <si>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</si>
  <si>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</si>
  <si>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</si>
  <si>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</si>
  <si>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</si>
  <si>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</si>
  <si>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</si>
  <si>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</si>
  <si>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</si>
  <si>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</si>
  <si>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</si>
  <si>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</si>
  <si>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</si>
  <si>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</si>
  <si>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</si>
  <si>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</si>
  <si>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</si>
  <si>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</si>
  <si>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</si>
  <si>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</si>
  <si>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</si>
  <si>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</si>
  <si>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</si>
  <si>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</si>
  <si>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</si>
  <si>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</si>
  <si>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</si>
  <si>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</si>
  <si>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</si>
  <si>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</si>
  <si>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</si>
  <si>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</si>
  <si>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</si>
  <si>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</si>
  <si>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</si>
  <si>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</si>
  <si>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</si>
  <si>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</si>
  <si>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</si>
  <si>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</si>
  <si>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</si>
  <si>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</si>
  <si>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</si>
  <si>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</si>
  <si>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</si>
  <si>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</si>
  <si>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</si>
  <si>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</si>
  <si>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</si>
  <si>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</si>
  <si>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</si>
  <si>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</si>
  <si>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</si>
  <si>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</si>
  <si>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</si>
  <si>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</si>
  <si>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</si>
  <si>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</si>
  <si>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</si>
  <si>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</si>
  <si>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</si>
  <si>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</si>
  <si>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</si>
  <si>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</si>
  <si>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</si>
  <si>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</si>
  <si>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</si>
  <si>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</si>
  <si>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</si>
  <si>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</si>
  <si>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</si>
  <si>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</si>
  <si>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</si>
  <si>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</si>
  <si>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</si>
  <si>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</si>
  <si>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</si>
  <si>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</si>
  <si>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</si>
  <si>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</si>
  <si>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</si>
  <si>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</si>
  <si>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</si>
  <si>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</si>
  <si>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</si>
  <si>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</si>
  <si>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</si>
  <si>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</si>
  <si>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</si>
  <si>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</si>
  <si>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</si>
  <si>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</si>
  <si>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</si>
  <si>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</si>
  <si>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</si>
  <si>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</si>
  <si>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</si>
  <si>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</si>
  <si>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</si>
  <si>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</si>
  <si>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</si>
  <si>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</si>
  <si>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</si>
  <si>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</si>
  <si>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</si>
  <si>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</si>
  <si>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</si>
  <si>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</si>
  <si>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</si>
  <si>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</si>
  <si>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</si>
  <si>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</si>
  <si>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</si>
  <si>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</si>
  <si>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</si>
  <si>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</si>
  <si>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</si>
  <si>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</si>
  <si>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</si>
  <si>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</si>
  <si>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</si>
  <si>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</si>
  <si>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</si>
  <si>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</si>
  <si>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</si>
  <si>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</si>
  <si>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</si>
  <si>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</si>
  <si>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</si>
  <si>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</si>
  <si>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</si>
  <si>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</si>
  <si>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</si>
  <si>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</si>
  <si>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</si>
  <si>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</si>
  <si>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</si>
  <si>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</si>
  <si>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</si>
  <si>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</si>
  <si>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</si>
  <si>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</si>
  <si>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</si>
  <si>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</si>
  <si>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</si>
  <si>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</si>
  <si>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</si>
  <si>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</si>
  <si>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</si>
  <si>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</si>
  <si>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</si>
  <si>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</si>
  <si>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</si>
  <si>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</si>
  <si>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</si>
  <si>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</si>
  <si>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</si>
  <si>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</si>
  <si>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</si>
  <si>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</si>
  <si>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</si>
  <si>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</si>
  <si>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</si>
  <si>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</si>
  <si>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</si>
  <si>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</si>
  <si>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</si>
  <si>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</si>
  <si>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</si>
  <si>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</si>
  <si>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</si>
  <si>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</si>
  <si>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</si>
  <si>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</si>
  <si>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</si>
  <si>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</si>
  <si>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</si>
  <si>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</si>
  <si>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</si>
  <si>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</si>
  <si>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</si>
  <si>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</si>
  <si>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</si>
  <si>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</si>
  <si>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</si>
  <si>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</si>
  <si>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</si>
  <si>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</si>
  <si>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</si>
  <si>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</si>
  <si>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</si>
  <si>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</si>
  <si>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</si>
  <si>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</si>
  <si>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</si>
  <si>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</si>
  <si>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</si>
  <si>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</si>
  <si>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</si>
  <si>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</si>
  <si>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</si>
  <si>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</si>
  <si>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</si>
  <si>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</si>
  <si>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</si>
  <si>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</si>
  <si>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</si>
  <si>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</si>
  <si>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</si>
  <si>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</si>
  <si>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</si>
  <si>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</si>
  <si>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</si>
  <si>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</si>
  <si>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</si>
  <si>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</si>
  <si>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</si>
  <si>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</si>
  <si>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</si>
  <si>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</si>
  <si>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</si>
  <si>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</si>
  <si>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</si>
  <si>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</si>
  <si>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</si>
  <si>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</si>
  <si>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</si>
  <si>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</si>
  <si>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</si>
  <si>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</si>
  <si>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</si>
  <si>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</si>
  <si>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</si>
  <si>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</si>
  <si>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</si>
  <si>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</si>
  <si>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</si>
  <si>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</si>
  <si>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</si>
  <si>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</si>
  <si>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</si>
  <si>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</si>
  <si>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</si>
  <si>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</si>
  <si>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</si>
  <si>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</si>
  <si>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</si>
  <si>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</si>
  <si>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</si>
  <si>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</si>
  <si>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</si>
  <si>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</si>
  <si>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</si>
  <si>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</si>
  <si>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</si>
  <si>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</si>
  <si>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</si>
  <si>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</si>
  <si>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</si>
  <si>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</si>
  <si>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</si>
  <si>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</si>
  <si>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</si>
  <si>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</si>
  <si>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</si>
  <si>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</si>
  <si>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</si>
  <si>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</si>
  <si>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</si>
  <si>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</si>
  <si>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</si>
  <si>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</si>
  <si>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</si>
  <si>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</si>
  <si>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</si>
  <si>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</si>
  <si>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</si>
  <si>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</si>
  <si>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</si>
  <si>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</si>
  <si>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</si>
  <si>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</si>
  <si>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</si>
  <si>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</si>
  <si>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</si>
  <si>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</si>
  <si>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</si>
  <si>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</si>
  <si>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</si>
  <si>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</si>
  <si>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</si>
  <si>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</si>
  <si>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</si>
  <si>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</si>
  <si>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</si>
  <si>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</si>
  <si>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</si>
  <si>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</si>
  <si>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</si>
  <si>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</si>
  <si>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</si>
  <si>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</si>
  <si>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</si>
  <si>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</si>
  <si>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</si>
  <si>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</si>
  <si>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</si>
  <si>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</si>
  <si>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</si>
  <si>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</si>
  <si>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</si>
  <si>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</si>
  <si>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</si>
  <si>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</si>
  <si>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</si>
  <si>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</si>
  <si>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</si>
  <si>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</si>
  <si>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</si>
  <si>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</si>
  <si>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</si>
  <si>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</si>
  <si>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</si>
  <si>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</si>
  <si>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</si>
  <si>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</si>
  <si>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</si>
  <si>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</si>
  <si>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</si>
  <si>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</si>
  <si>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</si>
  <si>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</si>
  <si>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</si>
  <si>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</si>
  <si>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</si>
  <si>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</si>
  <si>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</si>
  <si>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</si>
  <si>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</si>
  <si>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</si>
  <si>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</si>
  <si>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</si>
  <si>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</si>
  <si>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</si>
  <si>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</si>
  <si>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</si>
  <si>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</si>
  <si>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</si>
  <si>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</si>
  <si>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</si>
  <si>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</si>
  <si>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</si>
  <si>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</si>
  <si>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</si>
  <si>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</si>
  <si>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</si>
  <si>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</si>
  <si>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</si>
  <si>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</si>
  <si>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</si>
  <si>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</si>
  <si>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</si>
  <si>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</si>
  <si>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</si>
  <si>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</si>
  <si>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</si>
  <si>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</si>
  <si>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</si>
  <si>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</si>
  <si>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</si>
  <si>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</si>
  <si>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</si>
  <si>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</si>
  <si>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</si>
  <si>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</si>
  <si>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</si>
  <si>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</si>
  <si>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</si>
  <si>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</si>
  <si>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</si>
  <si>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</si>
  <si>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</si>
  <si>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</si>
  <si>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</si>
  <si>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</si>
  <si>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</si>
  <si>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</si>
  <si>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</si>
  <si>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</si>
  <si>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</si>
  <si>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</si>
  <si>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</si>
  <si>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</si>
  <si>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</si>
  <si>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</si>
  <si>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</si>
  <si>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</si>
  <si>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</si>
  <si>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</si>
  <si>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</si>
  <si>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</si>
  <si>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</si>
  <si>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</si>
  <si>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</si>
  <si>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</si>
  <si>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</si>
  <si>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</si>
  <si>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</si>
  <si>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</si>
  <si>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</si>
  <si>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</si>
  <si>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</si>
  <si>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</si>
  <si>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</si>
  <si>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</si>
  <si>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</si>
  <si>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</si>
  <si>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</si>
  <si>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</si>
  <si>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</si>
  <si>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</si>
  <si>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</si>
  <si>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</si>
  <si>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</si>
  <si>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</si>
  <si>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</si>
  <si>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</si>
  <si>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</si>
  <si>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</si>
  <si>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</si>
  <si>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</si>
  <si>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</si>
  <si>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</si>
  <si>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</si>
  <si>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</si>
  <si>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</si>
  <si>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</si>
  <si>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</si>
  <si>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</si>
  <si>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</si>
  <si>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</si>
  <si>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</si>
  <si>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</si>
  <si>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</si>
  <si>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</si>
  <si>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</si>
  <si>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</si>
  <si>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</si>
  <si>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</si>
  <si>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</si>
  <si>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</si>
  <si>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</si>
  <si>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</si>
  <si>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</si>
  <si>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</si>
  <si>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</si>
  <si>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</si>
  <si>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</si>
  <si>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</si>
  <si>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</si>
  <si>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</si>
  <si>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</si>
  <si>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</si>
  <si>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</si>
  <si>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</si>
  <si>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</si>
  <si>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</si>
  <si>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</si>
  <si>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</si>
  <si>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</si>
  <si>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</si>
  <si>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</si>
  <si>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</si>
  <si>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</si>
  <si>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</si>
  <si>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</si>
  <si>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</si>
  <si>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</si>
  <si>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</si>
  <si>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</si>
  <si>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</si>
  <si>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</si>
  <si>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</si>
  <si>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</si>
  <si>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</si>
  <si>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</si>
  <si>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</si>
  <si>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</si>
  <si>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</si>
  <si>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</si>
  <si>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</si>
  <si>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</si>
  <si>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</si>
  <si>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</si>
  <si>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</si>
  <si>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</si>
  <si>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</si>
  <si>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</si>
  <si>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</si>
  <si>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</si>
  <si>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</si>
  <si>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</si>
  <si>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</si>
  <si>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</si>
  <si>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</si>
  <si>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</si>
  <si>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</si>
  <si>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</si>
  <si>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</si>
  <si>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</si>
  <si>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</si>
  <si>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</si>
  <si>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</si>
  <si>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</si>
  <si>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</si>
  <si>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</si>
  <si>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</si>
  <si>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</si>
  <si>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</si>
  <si>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</si>
  <si>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</si>
  <si>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</si>
  <si>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</si>
  <si>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</si>
  <si>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</si>
  <si>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</si>
  <si>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</si>
  <si>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</si>
  <si>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</si>
  <si>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</si>
  <si>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</si>
  <si>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</si>
  <si>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</si>
  <si>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</si>
  <si>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</si>
  <si>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</si>
  <si>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</si>
  <si>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</si>
  <si>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</si>
  <si>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</si>
  <si>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</si>
  <si>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</si>
  <si>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</si>
  <si>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</si>
  <si>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</si>
  <si>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</si>
  <si>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</si>
  <si>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</si>
  <si>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</si>
  <si>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</si>
  <si>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</si>
  <si>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</si>
  <si>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</si>
  <si>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</si>
  <si>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</si>
  <si>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</si>
  <si>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</si>
  <si>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</si>
  <si>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</si>
  <si>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</si>
  <si>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</si>
  <si>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</si>
  <si>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</si>
  <si>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</si>
  <si>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</si>
  <si>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</si>
  <si>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</si>
  <si>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</si>
  <si>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</si>
  <si>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</si>
  <si>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</si>
  <si>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</si>
  <si>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</si>
  <si>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</si>
  <si>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</si>
  <si>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</si>
  <si>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</si>
  <si>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</si>
  <si>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</si>
  <si>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</si>
  <si>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</si>
  <si>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</si>
  <si>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</si>
  <si>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</si>
  <si>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</si>
  <si>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</si>
  <si>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</si>
  <si>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</si>
  <si>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</si>
  <si>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</si>
  <si>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</si>
  <si>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</si>
  <si>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</si>
  <si>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</si>
  <si>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</si>
  <si>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</si>
  <si>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</si>
  <si>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</si>
  <si>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</si>
  <si>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</si>
  <si>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</si>
  <si>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</si>
  <si>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</si>
  <si>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</si>
  <si>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</si>
  <si>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</si>
  <si>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</si>
  <si>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</si>
  <si>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</si>
  <si>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</si>
  <si>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</si>
  <si>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</si>
  <si>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</si>
  <si>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</si>
  <si>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</si>
  <si>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</si>
  <si>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</si>
  <si>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</si>
  <si>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</si>
  <si>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</si>
  <si>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</si>
  <si>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</si>
  <si>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</si>
  <si>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</si>
  <si>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</si>
  <si>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</si>
  <si>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</si>
  <si>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</si>
  <si>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</si>
  <si>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</si>
  <si>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</si>
  <si>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</si>
  <si>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</si>
  <si>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</si>
  <si>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</si>
  <si>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</si>
  <si>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</si>
  <si>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</si>
  <si>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</si>
  <si>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</si>
  <si>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</si>
  <si>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</si>
  <si>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</si>
  <si>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</si>
  <si>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</si>
  <si>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</si>
  <si>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</si>
  <si>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</si>
  <si>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</si>
  <si>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</si>
  <si>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</si>
  <si>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</si>
  <si>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</si>
  <si>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</si>
  <si>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</si>
  <si>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</si>
  <si>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</si>
  <si>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</si>
  <si>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</si>
  <si>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</si>
  <si>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</si>
  <si>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</si>
  <si>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</si>
  <si>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</si>
  <si>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</si>
  <si>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</si>
  <si>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</si>
  <si>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</si>
  <si>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</si>
  <si>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</si>
  <si>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</si>
  <si>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</si>
  <si>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</si>
  <si>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</si>
  <si>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</si>
  <si>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</si>
  <si>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</si>
  <si>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</si>
  <si>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</si>
  <si>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</si>
  <si>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</si>
  <si>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</si>
  <si>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</si>
  <si>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</si>
  <si>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</si>
  <si>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</si>
  <si>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</si>
  <si>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</si>
  <si>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</si>
  <si>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</si>
  <si>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</si>
  <si>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</si>
  <si>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</si>
  <si>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</si>
  <si>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</si>
  <si>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</si>
  <si>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</si>
  <si>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</si>
  <si>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</si>
  <si>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</si>
  <si>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</si>
  <si>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</si>
  <si>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</si>
  <si>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</si>
  <si>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</si>
  <si>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</si>
  <si>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</si>
  <si>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</si>
  <si>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</si>
  <si>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</si>
  <si>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</si>
  <si>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</si>
  <si>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</si>
  <si>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</si>
  <si>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</si>
  <si>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</si>
  <si>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</si>
  <si>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</si>
  <si>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</si>
  <si>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</si>
  <si>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</si>
  <si>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</si>
  <si>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</si>
  <si>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</si>
  <si>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</si>
  <si>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</si>
  <si>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</si>
  <si>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</si>
  <si>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</si>
  <si>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</si>
  <si>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</si>
  <si>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</si>
  <si>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</si>
  <si>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</si>
  <si>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</si>
  <si>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</si>
  <si>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</si>
  <si>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</si>
  <si>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</si>
  <si>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</si>
  <si>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</si>
  <si>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</si>
  <si>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</si>
  <si>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</si>
  <si>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</si>
  <si>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</si>
  <si>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</si>
  <si>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</si>
  <si>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</si>
  <si>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</si>
  <si>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</si>
  <si>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</si>
  <si>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</si>
  <si>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</si>
  <si>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</si>
  <si>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</si>
  <si>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</si>
  <si>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</si>
  <si>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</si>
  <si>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</si>
  <si>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</si>
  <si>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</si>
  <si>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</si>
  <si>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</si>
  <si>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</si>
  <si>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</si>
  <si>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</si>
  <si>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</si>
  <si>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</si>
  <si>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</si>
  <si>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</si>
  <si>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</si>
  <si>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</si>
  <si>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</si>
  <si>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</si>
  <si>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</si>
  <si>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</si>
  <si>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</si>
  <si>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</si>
  <si>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</si>
  <si>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</si>
  <si>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</si>
  <si>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</si>
  <si>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</si>
  <si>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</si>
  <si>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</si>
  <si>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</si>
  <si>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</si>
  <si>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</si>
  <si>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</si>
  <si>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</si>
  <si>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</si>
  <si>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</si>
  <si>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</si>
  <si>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</si>
  <si>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</si>
  <si>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</si>
  <si>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</si>
  <si>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</si>
  <si>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</si>
  <si>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</si>
  <si>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</si>
  <si>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</si>
  <si>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</si>
  <si>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</si>
  <si>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</si>
  <si>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</si>
  <si>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</si>
  <si>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</si>
  <si>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</si>
  <si>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</si>
  <si>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</si>
  <si>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</si>
  <si>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</si>
  <si>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</si>
  <si>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</si>
  <si>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</si>
  <si>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</si>
  <si>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</si>
  <si>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</si>
  <si>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</si>
  <si>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</si>
  <si>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</si>
  <si>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</si>
  <si>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</si>
  <si>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</si>
  <si>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</si>
  <si>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</si>
  <si>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</si>
  <si>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</si>
  <si>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</si>
  <si>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</si>
  <si>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</si>
  <si>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</si>
  <si>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</si>
  <si>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</si>
  <si>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</si>
  <si>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</si>
  <si>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</si>
  <si>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</si>
  <si>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</si>
  <si>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</si>
  <si>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</si>
  <si>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</si>
  <si>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</si>
  <si>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</si>
  <si>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</si>
  <si>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</si>
  <si>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</si>
  <si>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</si>
  <si>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</si>
  <si>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</si>
  <si>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</si>
  <si>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</si>
  <si>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</si>
  <si>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</si>
  <si>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</si>
  <si>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</si>
  <si>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</si>
  <si>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</si>
  <si>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</si>
  <si>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</si>
  <si>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</si>
  <si>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</si>
  <si>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</si>
  <si>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</si>
  <si>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</si>
  <si>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</si>
  <si>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</si>
  <si>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</si>
  <si>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</si>
  <si>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</si>
  <si>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</si>
  <si>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</si>
  <si>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</si>
  <si>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</si>
  <si>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</si>
  <si>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</si>
  <si>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</si>
  <si>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</si>
  <si>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</si>
  <si>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</si>
  <si>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</si>
  <si>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</si>
  <si>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</si>
  <si>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</si>
  <si>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</si>
  <si>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</si>
  <si>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</si>
  <si>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</si>
  <si>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</si>
  <si>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</si>
  <si>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</si>
  <si>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</si>
  <si>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</si>
  <si>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</si>
  <si>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</si>
  <si>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</si>
  <si>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</si>
  <si>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</si>
  <si>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</si>
  <si>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</si>
  <si>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</si>
  <si>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</si>
  <si>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</si>
  <si>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</si>
  <si>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</si>
  <si>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</si>
  <si>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</si>
  <si>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</si>
  <si>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</si>
  <si>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</si>
  <si>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</si>
  <si>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</si>
  <si>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</si>
  <si>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</si>
  <si>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</si>
  <si>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</si>
  <si>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</si>
  <si>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</si>
  <si>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</si>
  <si>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</si>
  <si>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</si>
  <si>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</si>
  <si>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</si>
  <si>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</si>
  <si>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</si>
  <si>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</si>
  <si>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</si>
  <si>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</si>
  <si>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</si>
  <si>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</si>
  <si>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</si>
  <si>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</si>
  <si>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</si>
  <si>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</si>
  <si>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</si>
  <si>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</si>
  <si>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</si>
  <si>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</si>
  <si>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</si>
  <si>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</si>
  <si>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</si>
  <si>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</si>
  <si>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</si>
  <si>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</si>
  <si>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</si>
  <si>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</si>
  <si>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</si>
  <si>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</si>
  <si>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</si>
  <si>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</si>
  <si>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</si>
  <si>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</si>
  <si>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</si>
  <si>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</si>
  <si>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</si>
  <si>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</si>
  <si>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</si>
  <si>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</si>
  <si>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</si>
  <si>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</si>
  <si>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</si>
  <si>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</si>
  <si>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</si>
  <si>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</si>
  <si>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</si>
  <si>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</si>
  <si>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</si>
  <si>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</si>
  <si>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</si>
  <si>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</si>
  <si>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</si>
  <si>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</si>
  <si>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</si>
  <si>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</si>
  <si>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</si>
  <si>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</si>
  <si>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</si>
  <si>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</si>
  <si>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</si>
  <si>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</si>
  <si>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</si>
  <si>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</si>
  <si>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</si>
  <si>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</si>
  <si>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</si>
  <si>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</si>
  <si>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</si>
  <si>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</si>
  <si>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</si>
  <si>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</si>
  <si>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</si>
  <si>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</si>
  <si>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</si>
  <si>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</si>
  <si>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</si>
  <si>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</si>
  <si>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</si>
  <si>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</si>
  <si>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</si>
  <si>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</si>
  <si>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</si>
  <si>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</si>
  <si>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</si>
  <si>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</si>
  <si>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</si>
  <si>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</si>
  <si>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</si>
  <si>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</si>
  <si>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</si>
  <si>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</si>
  <si>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</si>
  <si>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</si>
  <si>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</si>
  <si>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</si>
  <si>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</si>
  <si>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</si>
  <si>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</si>
  <si>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</si>
  <si>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</si>
  <si>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</si>
  <si>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</si>
  <si>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</si>
  <si>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</si>
  <si>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</si>
  <si>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</si>
  <si>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</si>
  <si>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</si>
  <si>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</si>
  <si>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</si>
  <si>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</si>
  <si>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</si>
  <si>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</si>
  <si>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</si>
  <si>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</si>
  <si>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</si>
  <si>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</si>
  <si>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</si>
  <si>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</si>
  <si>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</si>
  <si>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</si>
  <si>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</si>
  <si>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</si>
  <si>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</si>
  <si>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</si>
  <si>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</si>
  <si>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</si>
  <si>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</si>
  <si>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</si>
  <si>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</si>
  <si>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</si>
  <si>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</si>
  <si>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</si>
  <si>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</si>
  <si>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</si>
  <si>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</si>
  <si>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</si>
  <si>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</si>
  <si>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</si>
  <si>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</si>
  <si>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</si>
  <si>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</si>
  <si>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</si>
  <si>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</si>
  <si>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</si>
  <si>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</si>
  <si>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</si>
  <si>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</si>
  <si>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</si>
  <si>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</si>
  <si>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</si>
  <si>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</si>
  <si>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</si>
  <si>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</si>
  <si>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</si>
  <si>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</si>
  <si>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</si>
  <si>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</si>
  <si>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</si>
  <si>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</si>
  <si>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</si>
  <si>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</si>
  <si>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</si>
  <si>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</si>
  <si>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</si>
  <si>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</si>
  <si>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</si>
  <si>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</si>
  <si>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</si>
  <si>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</si>
  <si>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</si>
  <si>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</si>
  <si>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</si>
  <si>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</si>
  <si>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</si>
  <si>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</si>
  <si>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</si>
  <si>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</si>
  <si>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</si>
  <si>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</si>
  <si>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</si>
  <si>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</si>
  <si>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</si>
  <si>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</si>
  <si>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</si>
  <si>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</si>
  <si>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</si>
  <si>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</si>
  <si>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</si>
  <si>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</si>
  <si>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</si>
  <si>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</si>
  <si>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</si>
  <si>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</si>
  <si>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</si>
  <si>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</si>
  <si>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</si>
  <si>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</si>
  <si>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</si>
  <si>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</si>
  <si>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</si>
  <si>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</si>
  <si>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</si>
  <si>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</si>
  <si>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</si>
  <si>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</si>
  <si>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</si>
  <si>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</si>
  <si>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</si>
  <si>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</si>
  <si>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</si>
  <si>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</si>
  <si>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</si>
  <si>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</si>
  <si>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</si>
  <si>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</si>
  <si>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</si>
  <si>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</si>
  <si>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</si>
  <si>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</si>
  <si>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</si>
  <si>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</si>
  <si>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</si>
  <si>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</si>
  <si>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</si>
  <si>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</si>
  <si>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</si>
  <si>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</si>
  <si>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</si>
  <si>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</si>
  <si>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</si>
  <si>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</si>
  <si>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</si>
  <si>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</si>
  <si>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</si>
  <si>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</si>
  <si>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</si>
  <si>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</si>
  <si>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</si>
  <si>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</si>
  <si>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</si>
  <si>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</si>
  <si>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</si>
  <si>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</si>
  <si>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</si>
  <si>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</si>
  <si>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</si>
  <si>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</si>
  <si>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</si>
  <si>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</si>
  <si>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</si>
  <si>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</si>
  <si>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</si>
  <si>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</si>
  <si>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</si>
  <si>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</si>
  <si>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</si>
  <si>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</si>
  <si>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</si>
  <si>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</si>
  <si>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</si>
  <si>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</si>
  <si>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</si>
  <si>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</si>
  <si>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</si>
  <si>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</si>
  <si>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</si>
  <si>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</si>
  <si>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</si>
  <si>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</si>
  <si>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</si>
  <si>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</si>
  <si>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</si>
  <si>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</si>
  <si>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</si>
  <si>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</si>
  <si>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</si>
  <si>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</si>
  <si>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</si>
  <si>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</si>
  <si>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</si>
  <si>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</si>
  <si>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</si>
  <si>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</si>
  <si>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</si>
  <si>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</si>
  <si>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</si>
  <si>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</si>
  <si>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</si>
  <si>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</si>
  <si>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</si>
  <si>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</si>
  <si>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</si>
  <si>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</si>
  <si>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</si>
  <si>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</si>
  <si>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</si>
  <si>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</si>
  <si>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</si>
  <si>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</si>
  <si>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</si>
  <si>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</si>
  <si>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</si>
  <si>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</si>
  <si>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</si>
  <si>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</si>
  <si>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</si>
  <si>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</si>
  <si>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</si>
  <si>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</si>
  <si>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</si>
  <si>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</si>
  <si>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</si>
  <si>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</si>
  <si>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</si>
  <si>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</si>
  <si>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</si>
  <si>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</si>
  <si>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</si>
  <si>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</si>
  <si>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</si>
  <si>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</si>
  <si>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</si>
  <si>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</si>
  <si>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</si>
  <si>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</si>
  <si>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</si>
  <si>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</si>
  <si>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</si>
  <si>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</si>
  <si>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</si>
  <si>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</si>
  <si>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</si>
  <si>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</si>
  <si>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</si>
  <si>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</si>
  <si>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</si>
  <si>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</si>
  <si>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</si>
  <si>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</si>
  <si>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</si>
  <si>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</si>
  <si>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</si>
  <si>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</si>
  <si>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</si>
  <si>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</si>
  <si>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</si>
  <si>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</si>
  <si>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</si>
  <si>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</si>
  <si>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</si>
  <si>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</si>
  <si>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</si>
  <si>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</si>
  <si>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</si>
  <si>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</si>
  <si>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</si>
  <si>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</si>
  <si>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</si>
  <si>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</si>
  <si>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</si>
  <si>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</si>
  <si>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</si>
  <si>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</si>
  <si>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</si>
  <si>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</si>
  <si>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</si>
  <si>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</si>
  <si>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</si>
  <si>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</si>
  <si>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</si>
  <si>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</si>
  <si>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</si>
  <si>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</si>
  <si>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</si>
  <si>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</si>
  <si>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</si>
  <si>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</si>
  <si>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</si>
  <si>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</si>
  <si>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</si>
  <si>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</si>
  <si>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</si>
  <si>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</si>
  <si>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</si>
  <si>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</si>
  <si>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</si>
  <si>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</si>
  <si>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</si>
  <si>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</si>
  <si>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</si>
  <si>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</si>
  <si>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</si>
  <si>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</si>
  <si>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</si>
  <si>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</si>
  <si>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</si>
  <si>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</si>
  <si>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</si>
  <si>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</si>
  <si>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</si>
  <si>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</si>
  <si>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</si>
  <si>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</si>
  <si>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</si>
  <si>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</si>
  <si>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</si>
  <si>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</si>
  <si>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</si>
  <si>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</si>
  <si>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</si>
  <si>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</si>
  <si>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</si>
  <si>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</si>
  <si>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</si>
  <si>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</si>
  <si>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</si>
  <si>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</si>
  <si>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</si>
  <si>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</si>
  <si>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</si>
  <si>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</si>
  <si>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</si>
  <si>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</si>
  <si>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</si>
  <si>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</si>
  <si>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</si>
  <si>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</si>
  <si>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</si>
  <si>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</si>
  <si>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</si>
  <si>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</si>
  <si>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</si>
  <si>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</si>
  <si>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</si>
  <si>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</si>
  <si>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</si>
  <si>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</si>
  <si>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</si>
  <si>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</si>
  <si>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</si>
  <si>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</si>
  <si>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</si>
  <si>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</si>
  <si>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</si>
  <si>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</si>
  <si>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</si>
  <si>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</si>
  <si>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</si>
  <si>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</si>
  <si>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</si>
  <si>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</si>
  <si>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</si>
  <si>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</si>
  <si>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</si>
  <si>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</si>
  <si>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</si>
  <si>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</si>
  <si>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</si>
  <si>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</si>
  <si>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</si>
  <si>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</si>
  <si>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</si>
  <si>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</si>
  <si>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</si>
  <si>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</si>
  <si>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</si>
  <si>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</si>
  <si>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</si>
  <si>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</si>
  <si>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</si>
  <si>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</si>
  <si>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</si>
  <si>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</si>
  <si>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</si>
  <si>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</si>
  <si>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</si>
  <si>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</si>
  <si>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</si>
  <si>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</si>
  <si>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</si>
  <si>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</si>
  <si>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</si>
  <si>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</si>
  <si>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</si>
  <si>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</si>
  <si>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</si>
  <si>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</si>
  <si>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</si>
  <si>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</si>
  <si>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</si>
  <si>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</si>
  <si>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</si>
  <si>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</si>
  <si>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</si>
  <si>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</si>
  <si>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</si>
  <si>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</si>
  <si>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</si>
  <si>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</si>
  <si>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</si>
  <si>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</si>
  <si>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</si>
  <si>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</si>
  <si>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</si>
  <si>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</si>
  <si>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</si>
  <si>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</si>
  <si>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</si>
  <si>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</si>
  <si>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</si>
  <si>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</si>
  <si>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</si>
  <si>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</si>
  <si>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</si>
  <si>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</si>
  <si>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</si>
  <si>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</si>
  <si>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</si>
  <si>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</si>
  <si>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</si>
  <si>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</si>
  <si>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</si>
  <si>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</si>
  <si>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</si>
  <si>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</si>
  <si>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</si>
  <si>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</si>
  <si>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</si>
  <si>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</si>
  <si>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</si>
  <si>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</si>
  <si>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</si>
  <si>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</si>
  <si>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</si>
  <si>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</si>
  <si>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</si>
  <si>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</si>
  <si>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</si>
  <si>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</si>
  <si>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</si>
  <si>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</si>
  <si>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</si>
  <si>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</si>
  <si>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</si>
  <si>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</si>
  <si>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</si>
  <si>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</si>
  <si>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</si>
  <si>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</si>
  <si>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</si>
  <si>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</si>
  <si>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</si>
  <si>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</si>
  <si>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</si>
  <si>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</si>
  <si>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</si>
  <si>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</si>
  <si>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</si>
  <si>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</si>
  <si>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</si>
  <si>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</si>
  <si>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</si>
  <si>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</si>
  <si>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</si>
  <si>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</si>
  <si>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</si>
  <si>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</si>
  <si>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</si>
  <si>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</si>
  <si>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</si>
  <si>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</si>
  <si>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</si>
  <si>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</si>
  <si>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</si>
  <si>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</si>
  <si>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</si>
  <si>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</si>
  <si>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</si>
  <si>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</si>
  <si>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</si>
  <si>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</si>
  <si>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</si>
  <si>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</si>
  <si>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</si>
  <si>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</si>
  <si>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</si>
  <si>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</si>
  <si>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</si>
  <si>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</si>
  <si>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</si>
  <si>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</si>
  <si>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</si>
  <si>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</si>
  <si>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</si>
  <si>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</si>
  <si>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</si>
  <si>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</si>
  <si>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</si>
  <si>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</si>
  <si>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</si>
  <si>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</si>
  <si>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</si>
  <si>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</si>
  <si>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</si>
  <si>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</si>
  <si>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</si>
  <si>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</si>
  <si>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</si>
  <si>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</si>
  <si>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</si>
  <si>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</si>
  <si>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</si>
  <si>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</si>
  <si>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</si>
  <si>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</si>
  <si>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</si>
  <si>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</si>
  <si>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</si>
  <si>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</si>
  <si>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</si>
  <si>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</si>
  <si>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</si>
  <si>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</si>
  <si>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</si>
  <si>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</si>
  <si>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</si>
  <si>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</si>
  <si>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</si>
  <si>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</si>
  <si>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</si>
  <si>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</si>
  <si>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</si>
  <si>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</si>
  <si>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</si>
  <si>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</si>
  <si>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</si>
  <si>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</si>
  <si>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</si>
  <si>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</si>
  <si>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</si>
  <si>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</si>
  <si>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</si>
  <si>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</si>
  <si>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</si>
  <si>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</si>
  <si>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</si>
  <si>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</si>
  <si>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</si>
  <si>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</si>
  <si>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</si>
  <si>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</si>
  <si>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</si>
  <si>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</si>
  <si>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</si>
  <si>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</si>
  <si>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</si>
  <si>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</si>
  <si>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</si>
  <si>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</si>
  <si>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</si>
  <si>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</si>
  <si>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</si>
  <si>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</si>
  <si>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</si>
  <si>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</si>
  <si>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</si>
  <si>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</si>
  <si>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</si>
  <si>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</si>
  <si>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</si>
  <si>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</si>
  <si>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</si>
  <si>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</si>
  <si>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</si>
  <si>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</si>
  <si>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</si>
  <si>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</si>
  <si>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</si>
  <si>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</si>
  <si>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</si>
  <si>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</si>
  <si>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</si>
  <si>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</si>
  <si>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</si>
  <si>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</si>
  <si>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</si>
  <si>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</si>
  <si>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</si>
  <si>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</si>
  <si>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</si>
  <si>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</si>
  <si>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</si>
  <si>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</si>
  <si>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</si>
  <si>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</si>
  <si>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</si>
  <si>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</si>
  <si>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</si>
  <si>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</si>
  <si>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</si>
  <si>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</si>
  <si>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</si>
  <si>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</si>
  <si>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</si>
  <si>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</si>
  <si>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</si>
  <si>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</si>
  <si>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</si>
  <si>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</si>
  <si>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</si>
  <si>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</si>
  <si>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</si>
  <si>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</si>
  <si>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</si>
  <si>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</si>
  <si>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</si>
  <si>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</si>
  <si>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</si>
  <si>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</si>
  <si>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</si>
  <si>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</si>
  <si>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</si>
  <si>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</si>
  <si>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</si>
  <si>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</si>
  <si>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</si>
  <si>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</si>
  <si>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</si>
  <si>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</si>
  <si>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</si>
  <si>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</si>
  <si>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</si>
  <si>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</si>
  <si>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</si>
  <si>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</si>
  <si>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</si>
  <si>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</si>
  <si>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</si>
  <si>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</si>
  <si>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</si>
  <si>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</si>
  <si>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</si>
  <si>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</si>
  <si>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</si>
  <si>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</si>
  <si>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</si>
  <si>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</si>
  <si>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</si>
  <si>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</si>
  <si>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</si>
  <si>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</si>
  <si>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</si>
  <si>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</si>
  <si>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</si>
  <si>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</si>
  <si>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</si>
  <si>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</si>
  <si>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</si>
  <si>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</si>
  <si>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</si>
  <si>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</si>
  <si>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</si>
  <si>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</si>
  <si>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</si>
  <si>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</si>
  <si>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</si>
  <si>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</si>
  <si>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</si>
  <si>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</si>
  <si>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</si>
  <si>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</si>
  <si>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</si>
  <si>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</si>
  <si>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</si>
  <si>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</si>
  <si>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</si>
  <si>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</si>
  <si>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</si>
  <si>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</si>
  <si>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</si>
  <si>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</si>
  <si>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</si>
  <si>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</si>
  <si>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</si>
  <si>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</si>
  <si>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</si>
  <si>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</si>
  <si>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</si>
  <si>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</si>
  <si>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</si>
  <si>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</si>
  <si>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</si>
  <si>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</si>
  <si>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</si>
  <si>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</si>
  <si>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</si>
  <si>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</si>
  <si>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</si>
  <si>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</si>
  <si>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</si>
  <si>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</si>
  <si>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</si>
  <si>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</si>
  <si>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</si>
  <si>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</si>
  <si>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</si>
  <si>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</si>
  <si>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</si>
  <si>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</si>
  <si>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</si>
  <si>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</si>
  <si>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</si>
  <si>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</si>
  <si>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</si>
  <si>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</si>
  <si>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</si>
  <si>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</si>
  <si>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</si>
  <si>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</si>
  <si>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</si>
  <si>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</si>
  <si>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</si>
  <si>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</si>
  <si>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</si>
  <si>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</si>
  <si>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</si>
  <si>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</si>
  <si>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</si>
  <si>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</si>
  <si>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</si>
  <si>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</si>
  <si>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</si>
  <si>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</si>
  <si>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</si>
  <si>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</si>
  <si>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</si>
  <si>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</si>
  <si>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</si>
  <si>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</si>
  <si>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</si>
  <si>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</si>
  <si>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</si>
  <si>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</si>
  <si>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</si>
  <si>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</si>
  <si>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</si>
  <si>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</si>
  <si>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</si>
  <si>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</si>
  <si>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</si>
  <si>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</si>
  <si>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</si>
  <si>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</si>
  <si>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</si>
  <si>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</si>
  <si>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</si>
  <si>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</si>
  <si>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</si>
  <si>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</si>
  <si>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</si>
  <si>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</si>
  <si>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</si>
  <si>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</si>
  <si>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</si>
  <si>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</si>
  <si>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</si>
  <si>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</si>
  <si>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</si>
  <si>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</si>
  <si>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</si>
  <si>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</si>
  <si>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</si>
  <si>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</si>
  <si>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</si>
  <si>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</si>
  <si>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</si>
  <si>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</si>
  <si>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</si>
  <si>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</si>
  <si>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</si>
  <si>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</si>
  <si>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</si>
  <si>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</si>
  <si>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</si>
  <si>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</si>
  <si>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</si>
  <si>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</si>
  <si>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</si>
  <si>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</si>
  <si>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</si>
  <si>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</si>
  <si>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</si>
  <si>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</si>
  <si>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</si>
  <si>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</si>
  <si>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</si>
  <si>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</si>
  <si>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</si>
  <si>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</si>
  <si>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</si>
  <si>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</si>
  <si>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</si>
  <si>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</si>
  <si>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</si>
  <si>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</si>
  <si>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</si>
  <si>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</si>
  <si>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</si>
  <si>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</si>
  <si>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</si>
  <si>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</si>
  <si>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</si>
  <si>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</si>
  <si>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</si>
  <si>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</si>
  <si>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</si>
  <si>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</si>
  <si>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</si>
  <si>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</si>
  <si>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</si>
  <si>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</si>
  <si>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</si>
  <si>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</si>
  <si>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</si>
  <si>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</si>
  <si>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</si>
  <si>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</si>
  <si>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</si>
  <si>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</si>
  <si>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</si>
  <si>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</si>
  <si>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</si>
  <si>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</si>
  <si>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</si>
  <si>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</si>
  <si>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</si>
  <si>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</si>
  <si>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</si>
  <si>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</si>
  <si>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</si>
  <si>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</si>
  <si>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</si>
  <si>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</si>
  <si>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</si>
  <si>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</si>
  <si>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</si>
  <si>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</si>
  <si>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</si>
  <si>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</si>
  <si>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</si>
  <si>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</si>
  <si>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</si>
  <si>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</si>
  <si>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</si>
  <si>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</si>
  <si>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</si>
  <si>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</si>
  <si>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</si>
  <si>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</si>
  <si>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</si>
  <si>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</si>
  <si>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</si>
  <si>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</si>
  <si>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</si>
  <si>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</si>
  <si>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</si>
  <si>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</si>
  <si>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</si>
  <si>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</si>
  <si>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</si>
  <si>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</si>
  <si>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</si>
  <si>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</si>
  <si>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</si>
  <si>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</si>
  <si>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</si>
  <si>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</si>
  <si>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</si>
  <si>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</si>
  <si>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</si>
  <si>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</si>
  <si>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</si>
  <si>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</si>
  <si>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</si>
  <si>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</si>
  <si>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</si>
  <si>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</si>
  <si>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</si>
  <si>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</si>
  <si>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</si>
  <si>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</si>
  <si>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</si>
  <si>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</si>
  <si>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</si>
  <si>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</si>
  <si>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</si>
  <si>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</si>
  <si>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</si>
  <si>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</si>
  <si>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</si>
  <si>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</si>
  <si>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</si>
  <si>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</si>
  <si>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</si>
  <si>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</si>
  <si>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</si>
  <si>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</si>
  <si>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</si>
  <si>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</si>
  <si>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</si>
  <si>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</si>
  <si>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</si>
  <si>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</si>
  <si>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</si>
  <si>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</si>
  <si>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</si>
  <si>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</si>
  <si>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</si>
  <si>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</si>
  <si>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</si>
  <si>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</si>
  <si>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</si>
  <si>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</si>
  <si>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</si>
  <si>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</si>
  <si>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</si>
  <si>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</si>
  <si>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</si>
  <si>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</si>
  <si>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</si>
  <si>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</si>
  <si>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</si>
  <si>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</si>
  <si>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</si>
  <si>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</si>
  <si>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</si>
  <si>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</si>
  <si>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</si>
  <si>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</si>
  <si>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</si>
  <si>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</si>
  <si>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</si>
  <si>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</si>
  <si>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</si>
  <si>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</si>
  <si>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</si>
  <si>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</si>
  <si>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</si>
  <si>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</si>
  <si>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</si>
  <si>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</si>
  <si>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</si>
  <si>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</si>
  <si>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</si>
  <si>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</si>
  <si>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</si>
  <si>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</si>
  <si>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</si>
  <si>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</si>
  <si>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</si>
  <si>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</si>
  <si>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</si>
  <si>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</si>
  <si>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</si>
  <si>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</si>
  <si>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</si>
  <si>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</si>
  <si>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</si>
  <si>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</si>
  <si>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</si>
  <si>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</si>
  <si>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</si>
  <si>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</si>
  <si>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</si>
  <si>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</si>
  <si>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</si>
  <si>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</si>
  <si>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</si>
  <si>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</si>
  <si>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</si>
  <si>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</si>
  <si>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</si>
  <si>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</si>
  <si>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</si>
  <si>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</si>
  <si>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</si>
  <si>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</si>
  <si>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</si>
  <si>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</si>
  <si>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</si>
  <si>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</si>
  <si>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</si>
  <si>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</si>
  <si>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</si>
  <si>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</si>
  <si>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</si>
  <si>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</si>
  <si>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</si>
  <si>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</si>
  <si>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</si>
  <si>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</si>
  <si>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</si>
  <si>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</si>
  <si>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</si>
  <si>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</si>
  <si>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</si>
  <si>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</si>
  <si>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</si>
  <si>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</si>
  <si>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</si>
  <si>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</si>
  <si>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</si>
  <si>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</si>
  <si>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</si>
  <si>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</si>
  <si>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</si>
  <si>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</si>
  <si>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</si>
  <si>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</si>
  <si>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</si>
  <si>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</si>
  <si>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</si>
  <si>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</si>
  <si>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</si>
  <si>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</si>
  <si>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</si>
  <si>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</si>
  <si>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</si>
  <si>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</si>
  <si>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</si>
  <si>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</si>
  <si>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</si>
  <si>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</si>
  <si>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</si>
  <si>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</si>
  <si>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</si>
  <si>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</si>
  <si>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</si>
  <si>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</si>
  <si>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</si>
  <si>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</si>
  <si>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</si>
  <si>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</si>
  <si>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</si>
  <si>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</si>
  <si>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</si>
  <si>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</si>
  <si>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</si>
  <si>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</si>
  <si>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</si>
  <si>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</si>
  <si>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</si>
  <si>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</si>
  <si>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</si>
  <si>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</si>
  <si>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</si>
  <si>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</si>
  <si>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</si>
  <si>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</si>
  <si>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</si>
  <si>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</si>
  <si>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</si>
  <si>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</si>
  <si>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</si>
  <si>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</si>
  <si>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</si>
  <si>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</si>
  <si>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</si>
  <si>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</si>
  <si>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</si>
  <si>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</si>
  <si>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</si>
  <si>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</si>
  <si>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</si>
  <si>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</si>
  <si>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</si>
  <si>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</si>
  <si>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</si>
  <si>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</si>
  <si>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</si>
  <si>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</si>
  <si>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</si>
  <si>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</si>
  <si>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</si>
  <si>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</si>
  <si>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</si>
  <si>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</si>
  <si>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</si>
  <si>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</si>
  <si>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</si>
  <si>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</si>
  <si>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</si>
  <si>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</si>
  <si>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</si>
  <si>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</si>
  <si>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</si>
  <si>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</si>
  <si>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</si>
  <si>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</si>
  <si>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</si>
  <si>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</si>
  <si>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</si>
  <si>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</si>
  <si>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</si>
  <si>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</si>
  <si>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</si>
  <si>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</si>
  <si>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</si>
  <si>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</si>
  <si>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</si>
  <si>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</si>
  <si>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</si>
  <si>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</si>
  <si>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</si>
  <si>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</si>
  <si>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</si>
  <si>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</si>
  <si>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</si>
  <si>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</si>
  <si>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</si>
  <si>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</si>
  <si>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</si>
  <si>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</si>
  <si>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</si>
  <si>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</si>
  <si>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</si>
  <si>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</si>
  <si>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</si>
  <si>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</si>
  <si>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</si>
  <si>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</si>
  <si>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</si>
  <si>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</si>
  <si>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</si>
  <si>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</si>
  <si>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</si>
  <si>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</si>
  <si>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</si>
  <si>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</si>
  <si>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</si>
  <si>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</si>
  <si>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</si>
  <si>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</si>
  <si>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</si>
  <si>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</si>
  <si>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</si>
  <si>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</si>
  <si>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</si>
  <si>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</si>
  <si>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</si>
  <si>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</si>
  <si>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</si>
  <si>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</si>
  <si>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</si>
  <si>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</si>
  <si>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</si>
  <si>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</si>
  <si>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</si>
  <si>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</si>
  <si>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</si>
  <si>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</si>
  <si>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</si>
  <si>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</si>
  <si>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</si>
  <si>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</si>
  <si>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</si>
  <si>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</si>
  <si>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</si>
  <si>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</si>
  <si>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</si>
  <si>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</si>
  <si>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</si>
  <si>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</si>
  <si>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</si>
  <si>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</si>
  <si>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</si>
  <si>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</si>
  <si>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</si>
  <si>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</si>
  <si>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</si>
  <si>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</si>
  <si>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</si>
  <si>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</si>
  <si>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</si>
  <si>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</si>
  <si>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</si>
  <si>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</si>
  <si>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</si>
  <si>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</si>
  <si>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</si>
  <si>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</si>
  <si>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</si>
  <si>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</si>
  <si>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</si>
  <si>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</si>
  <si>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</si>
  <si>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</si>
  <si>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</si>
  <si>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</si>
  <si>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</si>
  <si>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</si>
  <si>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</si>
  <si>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</si>
  <si>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</si>
  <si>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</si>
  <si>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</si>
  <si>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</si>
  <si>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</si>
  <si>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</si>
  <si>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</si>
  <si>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</si>
  <si>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</si>
  <si>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</si>
  <si>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</si>
  <si>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</si>
  <si>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</si>
  <si>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</si>
  <si>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</si>
  <si>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</si>
  <si>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</si>
  <si>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</si>
  <si>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</si>
  <si>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</si>
  <si>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</si>
  <si>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</si>
  <si>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</si>
  <si>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</si>
  <si>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</si>
  <si>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</si>
  <si>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</si>
  <si>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</si>
  <si>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</si>
  <si>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</si>
  <si>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</si>
  <si>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</si>
  <si>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</si>
  <si>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</si>
  <si>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</si>
  <si>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</si>
  <si>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</si>
  <si>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</si>
  <si>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</si>
  <si>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</si>
  <si>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</si>
  <si>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</si>
  <si>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</si>
  <si>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</si>
  <si>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</si>
  <si>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</si>
  <si>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</si>
  <si>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</si>
  <si>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</si>
  <si>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</si>
  <si>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</si>
  <si>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</si>
  <si>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</si>
  <si>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</si>
  <si>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</si>
  <si>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</si>
  <si>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</si>
  <si>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</si>
  <si>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</si>
  <si>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</si>
  <si>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</si>
  <si>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</si>
  <si>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</si>
  <si>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</si>
  <si>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</si>
  <si>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</si>
  <si>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</si>
  <si>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</si>
  <si>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</si>
  <si>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</si>
  <si>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</si>
  <si>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</si>
  <si>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</si>
  <si>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</si>
  <si>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</si>
  <si>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</si>
  <si>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</si>
  <si>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</si>
  <si>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</si>
  <si>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</si>
  <si>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</si>
  <si>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</si>
  <si>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</si>
  <si>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</si>
  <si>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</si>
  <si>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</si>
  <si>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</si>
  <si>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</si>
  <si>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</si>
  <si>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</si>
  <si>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</si>
  <si>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</si>
  <si>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</si>
  <si>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</si>
  <si>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</si>
  <si>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</si>
  <si>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</si>
  <si>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</si>
  <si>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</si>
  <si>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</si>
  <si>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</si>
  <si>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</si>
  <si>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</si>
  <si>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</si>
  <si>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</si>
  <si>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</si>
  <si>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</si>
  <si>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</si>
  <si>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</si>
  <si>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</si>
  <si>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</si>
  <si>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</si>
  <si>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</si>
  <si>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</si>
  <si>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</si>
  <si>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</si>
  <si>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</si>
  <si>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</si>
  <si>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</si>
  <si>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</si>
  <si>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</si>
  <si>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</si>
  <si>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</si>
  <si>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</si>
  <si>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</si>
  <si>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</si>
  <si>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</si>
  <si>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</si>
  <si>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</si>
  <si>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</si>
  <si>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</si>
  <si>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</si>
  <si>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</si>
  <si>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</si>
  <si>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</si>
  <si>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</si>
  <si>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</si>
  <si>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</si>
  <si>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</si>
  <si>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</si>
  <si>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</si>
  <si>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</si>
  <si>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</si>
  <si>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</si>
  <si>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</si>
  <si>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</si>
  <si>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</si>
  <si>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</si>
  <si>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</si>
  <si>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</si>
  <si>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</si>
  <si>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</si>
  <si>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</si>
  <si>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</si>
  <si>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</si>
  <si>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</si>
  <si>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</si>
  <si>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</si>
  <si>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</si>
  <si>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</si>
  <si>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</si>
  <si>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</si>
  <si>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</si>
  <si>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</si>
  <si>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</si>
  <si>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</si>
  <si>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</si>
  <si>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</si>
  <si>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</si>
  <si>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</si>
  <si>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</si>
  <si>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</si>
  <si>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</si>
  <si>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</si>
  <si>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</si>
  <si>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</si>
  <si>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</si>
  <si>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</si>
  <si>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</si>
  <si>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</si>
  <si>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</si>
  <si>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</si>
  <si>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</si>
  <si>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</si>
  <si>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</si>
  <si>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</si>
  <si>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</si>
  <si>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</si>
  <si>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</si>
  <si>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</si>
  <si>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</si>
  <si>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</si>
  <si>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</si>
  <si>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</si>
  <si>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</si>
  <si>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</si>
  <si>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</si>
  <si>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</si>
  <si>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</si>
  <si>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</si>
  <si>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</si>
  <si>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</si>
  <si>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</si>
  <si>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</si>
  <si>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</si>
  <si>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</si>
  <si>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</si>
  <si>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</si>
  <si>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</si>
  <si>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</si>
  <si>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</si>
  <si>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</si>
  <si>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</si>
  <si>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</si>
  <si>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</si>
  <si>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</si>
  <si>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</si>
  <si>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</si>
  <si>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</si>
  <si>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</si>
  <si>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</si>
  <si>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</si>
  <si>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</si>
  <si>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</si>
  <si>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</si>
  <si>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</si>
  <si>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</si>
  <si>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</si>
  <si>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</si>
  <si>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</si>
  <si>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</si>
  <si>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</si>
  <si>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</si>
  <si>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</si>
  <si>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</si>
  <si>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</si>
  <si>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</si>
  <si>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</si>
  <si>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</si>
  <si>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</si>
  <si>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</si>
  <si>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</si>
  <si>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</si>
  <si>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</si>
  <si>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</si>
  <si>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</si>
  <si>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</si>
  <si>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</si>
  <si>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</si>
  <si>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</si>
  <si>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</si>
  <si>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</si>
  <si>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</si>
  <si>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</si>
  <si>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</si>
  <si>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</si>
  <si>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</si>
  <si>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</si>
  <si>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</si>
  <si>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</si>
  <si>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</si>
  <si>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</si>
  <si>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</si>
  <si>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</si>
  <si>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</si>
  <si>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</si>
  <si>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</si>
  <si>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</si>
  <si>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</si>
  <si>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</si>
  <si>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</si>
  <si>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</si>
  <si>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</si>
  <si>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</si>
  <si>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</si>
  <si>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</si>
  <si>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</si>
  <si>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</si>
  <si>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</si>
  <si>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</si>
  <si>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</si>
  <si>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</si>
  <si>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</si>
  <si>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</si>
  <si>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</si>
  <si>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</si>
  <si>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</si>
  <si>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</si>
  <si>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</si>
  <si>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</si>
  <si>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</si>
  <si>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</si>
  <si>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</si>
  <si>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</si>
  <si>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</si>
  <si>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</si>
  <si>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</si>
  <si>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</si>
  <si>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</si>
  <si>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</si>
  <si>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</si>
  <si>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</si>
  <si>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</si>
  <si>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</si>
  <si>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</si>
  <si>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</si>
  <si>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</si>
  <si>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</si>
  <si>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</si>
  <si>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</si>
  <si>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</si>
  <si>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</si>
  <si>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</si>
  <si>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</si>
  <si>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</si>
  <si>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</si>
  <si>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</si>
  <si>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</si>
  <si>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</si>
  <si>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</si>
  <si>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</si>
  <si>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</si>
  <si>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</si>
  <si>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</si>
  <si>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</si>
  <si>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</si>
  <si>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</si>
  <si>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</si>
  <si>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</si>
  <si>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</si>
  <si>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</si>
  <si>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</si>
  <si>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</si>
  <si>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</si>
  <si>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</si>
  <si>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</si>
  <si>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</si>
  <si>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</si>
  <si>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</si>
  <si>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</si>
  <si>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</si>
  <si>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</si>
  <si>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</si>
  <si>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</si>
  <si>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</si>
  <si>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</si>
  <si>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</si>
  <si>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</si>
  <si>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</si>
  <si>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</si>
  <si>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</si>
  <si>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</si>
  <si>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</si>
  <si>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</si>
  <si>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</si>
  <si>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</si>
  <si>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</si>
  <si>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</si>
  <si>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</si>
  <si>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</si>
  <si>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</si>
  <si>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</si>
  <si>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</si>
  <si>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</si>
  <si>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</si>
  <si>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</si>
  <si>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</si>
  <si>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</si>
  <si>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</si>
  <si>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</si>
  <si>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</si>
  <si>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</si>
  <si>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</si>
  <si>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</si>
  <si>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</si>
  <si>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</si>
  <si>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</si>
  <si>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</si>
  <si>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</si>
  <si>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</si>
  <si>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</si>
  <si>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</si>
  <si>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</si>
  <si>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</si>
  <si>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</si>
  <si>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</si>
  <si>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</si>
  <si>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</si>
  <si>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</si>
  <si>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</si>
  <si>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</si>
  <si>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</si>
  <si>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</si>
  <si>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</si>
  <si>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</si>
  <si>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</si>
  <si>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</si>
  <si>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</si>
  <si>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</si>
  <si>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</si>
  <si>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</si>
  <si>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</si>
  <si>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</si>
  <si>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</si>
  <si>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</si>
  <si>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</si>
  <si>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</si>
  <si>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</si>
  <si>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</si>
  <si>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</si>
  <si>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</si>
  <si>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</si>
  <si>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</si>
  <si>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</si>
  <si>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</si>
  <si>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</si>
  <si>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</si>
  <si>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</si>
  <si>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</si>
  <si>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</si>
  <si>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</si>
  <si>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</si>
  <si>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</si>
  <si>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</si>
  <si>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</si>
  <si>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</si>
  <si>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</si>
  <si>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</si>
  <si>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</si>
  <si>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</si>
  <si>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</si>
  <si>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</si>
  <si>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</si>
  <si>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</si>
  <si>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</si>
  <si>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</si>
  <si>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</si>
  <si>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</si>
  <si>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</si>
  <si>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</si>
  <si>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</si>
  <si>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</si>
  <si>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</si>
  <si>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</si>
  <si>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</si>
  <si>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</si>
  <si>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</si>
  <si>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</si>
  <si>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</si>
  <si>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</si>
  <si>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</si>
  <si>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</si>
  <si>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</si>
  <si>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</si>
  <si>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</si>
  <si>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</si>
  <si>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</si>
  <si>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</si>
  <si>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</si>
  <si>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</si>
  <si>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</si>
  <si>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</si>
  <si>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</si>
  <si>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</si>
  <si>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</si>
  <si>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</si>
  <si>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</si>
  <si>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</si>
  <si>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</si>
  <si>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</si>
  <si>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</si>
  <si>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</si>
  <si>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</si>
  <si>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</si>
  <si>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</si>
  <si>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</si>
  <si>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</si>
  <si>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</si>
  <si>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</si>
  <si>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</si>
  <si>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</si>
  <si>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</si>
  <si>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</si>
  <si>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</si>
  <si>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</si>
  <si>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</si>
  <si>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</si>
  <si>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</si>
  <si>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</si>
  <si>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</si>
  <si>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</si>
  <si>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</si>
  <si>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</si>
  <si>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</si>
  <si>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</si>
  <si>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</si>
  <si>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</si>
  <si>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</si>
  <si>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</si>
  <si>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</si>
  <si>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</si>
  <si>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</si>
  <si>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</si>
  <si>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</si>
  <si>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</si>
  <si>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</si>
  <si>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</si>
  <si>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</si>
  <si>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</si>
  <si>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</si>
  <si>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</si>
  <si>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</si>
  <si>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</si>
  <si>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</si>
  <si>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</si>
  <si>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</si>
  <si>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</si>
  <si>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</si>
  <si>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</si>
  <si>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</si>
  <si>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</si>
  <si>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</si>
  <si>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</si>
  <si>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</si>
  <si>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</si>
  <si>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</si>
  <si>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</si>
  <si>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</si>
  <si>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</si>
  <si>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</si>
  <si>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</si>
  <si>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</si>
  <si>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</si>
  <si>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</si>
  <si>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</si>
  <si>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</si>
  <si>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</si>
  <si>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</si>
  <si>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</si>
  <si>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</si>
  <si>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</si>
  <si>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</si>
  <si>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</si>
  <si>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</si>
  <si>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</si>
  <si>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</si>
  <si>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</si>
  <si>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</si>
  <si>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</si>
  <si>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</si>
  <si>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</si>
  <si>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</si>
  <si>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</si>
  <si>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</si>
  <si>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</si>
  <si>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</si>
  <si>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</si>
  <si>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</si>
  <si>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</si>
  <si>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</si>
  <si>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</si>
  <si>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</si>
  <si>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</si>
  <si>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</si>
  <si>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</si>
  <si>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</si>
  <si>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</si>
  <si>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</si>
  <si>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</si>
  <si>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</si>
  <si>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</si>
  <si>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</si>
  <si>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</si>
  <si>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</si>
  <si>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</si>
  <si>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</si>
  <si>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</si>
  <si>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</si>
  <si>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</si>
  <si>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</si>
  <si>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</si>
  <si>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</si>
  <si>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</si>
  <si>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</si>
  <si>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</si>
  <si>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</si>
  <si>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</si>
  <si>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</si>
  <si>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</si>
  <si>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</si>
  <si>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</si>
  <si>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</si>
  <si>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</si>
  <si>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</si>
  <si>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</si>
  <si>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</si>
  <si>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</si>
  <si>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</si>
  <si>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</si>
  <si>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</si>
  <si>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</si>
  <si>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</si>
  <si>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</si>
  <si>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</si>
  <si>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</si>
  <si>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</si>
  <si>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</si>
  <si>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</si>
  <si>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</si>
  <si>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</si>
  <si>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</si>
  <si>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</si>
  <si>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</si>
  <si>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</si>
  <si>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</si>
  <si>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</si>
  <si>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</si>
  <si>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</si>
  <si>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</si>
  <si>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</si>
  <si>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</si>
  <si>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</si>
  <si>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</si>
  <si>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</si>
  <si>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</si>
  <si>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</si>
  <si>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</si>
  <si>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</si>
  <si>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</si>
  <si>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</si>
  <si>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</si>
  <si>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</si>
  <si>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</si>
  <si>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</si>
  <si>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</si>
  <si>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</si>
  <si>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</si>
  <si>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</si>
  <si>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</si>
  <si>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</si>
  <si>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</si>
  <si>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</si>
  <si>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</si>
  <si>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</si>
  <si>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</si>
  <si>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</si>
  <si>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</si>
  <si>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</si>
  <si>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</si>
  <si>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</si>
  <si>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</si>
  <si>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</si>
  <si>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</si>
  <si>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</si>
  <si>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</si>
  <si>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</si>
  <si>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</si>
  <si>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</si>
  <si>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</si>
  <si>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</si>
  <si>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</si>
  <si>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</si>
  <si>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</si>
  <si>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</si>
  <si>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</si>
  <si>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</si>
  <si>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</si>
  <si>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</si>
  <si>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</si>
  <si>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</si>
  <si>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</si>
  <si>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</si>
  <si>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</si>
  <si>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</si>
  <si>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</si>
  <si>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</si>
  <si>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</si>
  <si>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</si>
  <si>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</si>
  <si>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</si>
  <si>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</si>
  <si>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</si>
  <si>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</si>
  <si>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</si>
  <si>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</si>
  <si>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</si>
  <si>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</si>
  <si>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</si>
  <si>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</si>
  <si>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</si>
  <si>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</si>
  <si>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</si>
  <si>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</si>
  <si>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</si>
  <si>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</si>
  <si>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</si>
  <si>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</si>
  <si>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</si>
  <si>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</si>
  <si>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</si>
  <si>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</si>
  <si>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</si>
  <si>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</si>
  <si>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</si>
  <si>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</si>
  <si>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</si>
  <si>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</si>
  <si>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</si>
  <si>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</si>
  <si>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</si>
  <si>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</si>
  <si>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</si>
  <si>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</si>
  <si>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</si>
  <si>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</si>
  <si>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</si>
  <si>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</si>
  <si>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</si>
  <si>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</si>
  <si>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</si>
  <si>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</si>
  <si>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</si>
  <si>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</si>
  <si>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</si>
  <si>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</si>
  <si>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</si>
  <si>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</si>
  <si>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</si>
  <si>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</si>
  <si>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</si>
  <si>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</si>
  <si>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</si>
  <si>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</si>
  <si>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</si>
  <si>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</si>
  <si>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</si>
  <si>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</si>
  <si>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</si>
  <si>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</si>
  <si>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</si>
  <si>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</si>
  <si>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</si>
  <si>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</si>
  <si>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</si>
  <si>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</si>
  <si>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</si>
  <si>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</si>
  <si>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</si>
  <si>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</si>
  <si>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</si>
  <si>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</si>
  <si>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</si>
  <si>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</si>
  <si>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</si>
  <si>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</si>
  <si>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</si>
  <si>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</si>
  <si>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</si>
  <si>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</si>
  <si>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</si>
  <si>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</si>
  <si>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</si>
  <si>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</si>
  <si>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</si>
  <si>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</si>
  <si>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</si>
  <si>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</si>
  <si>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</si>
  <si>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</si>
  <si>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</si>
  <si>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</si>
  <si>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</si>
  <si>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</si>
  <si>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</si>
  <si>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</si>
  <si>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</si>
  <si>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</si>
  <si>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</si>
  <si>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</si>
  <si>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</si>
  <si>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</si>
  <si>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</si>
  <si>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</si>
  <si>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</si>
  <si>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</si>
  <si>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</si>
  <si>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</si>
  <si>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</si>
  <si>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</si>
  <si>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</si>
  <si>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</si>
  <si>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</si>
  <si>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</si>
  <si>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</si>
  <si>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</si>
  <si>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</si>
  <si>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</si>
  <si>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</si>
  <si>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</si>
  <si>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</si>
  <si>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</si>
  <si>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</si>
  <si>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</si>
  <si>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</si>
  <si>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</si>
  <si>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</si>
  <si>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</si>
  <si>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</si>
  <si>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</si>
  <si>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</si>
  <si>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</si>
  <si>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</si>
  <si>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</si>
  <si>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</si>
  <si>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</si>
  <si>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</si>
  <si>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</si>
  <si>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</si>
  <si>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</si>
  <si>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</si>
  <si>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</si>
  <si>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</si>
  <si>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</si>
  <si>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</si>
  <si>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</si>
  <si>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</si>
  <si>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</si>
  <si>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</si>
  <si>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</si>
  <si>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</si>
  <si>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</si>
  <si>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</si>
  <si>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</si>
  <si>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</si>
  <si>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</si>
  <si>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</si>
  <si>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</si>
  <si>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</si>
  <si>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</si>
  <si>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</si>
  <si>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</si>
  <si>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</si>
  <si>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</si>
  <si>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</si>
  <si>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</si>
  <si>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</si>
  <si>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</si>
  <si>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</si>
  <si>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</si>
  <si>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</si>
  <si>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</si>
  <si>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</si>
  <si>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</si>
  <si>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</si>
  <si>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</si>
  <si>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</si>
  <si>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</si>
  <si>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</si>
  <si>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</si>
  <si>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</si>
  <si>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</si>
  <si>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</si>
  <si>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</si>
  <si>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</si>
  <si>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</si>
  <si>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</si>
  <si>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</si>
  <si>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</si>
  <si>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</si>
  <si>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</si>
  <si>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</si>
  <si>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</si>
  <si>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</si>
  <si>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</si>
  <si>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</si>
  <si>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</si>
  <si>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</si>
  <si>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</si>
  <si>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</si>
  <si>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</si>
  <si>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</si>
  <si>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</si>
  <si>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</si>
  <si>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</si>
  <si>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</si>
  <si>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</si>
  <si>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</si>
  <si>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</si>
  <si>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</si>
  <si>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</si>
  <si>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</si>
  <si>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</si>
  <si>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</si>
  <si>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</si>
  <si>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</si>
  <si>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</si>
  <si>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</si>
  <si>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</si>
  <si>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</si>
  <si>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</si>
  <si>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</si>
  <si>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</si>
  <si>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</si>
  <si>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</si>
  <si>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</si>
  <si>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</si>
  <si>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</si>
  <si>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</si>
  <si>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</si>
  <si>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</si>
  <si>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</si>
  <si>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</si>
  <si>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</si>
  <si>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</si>
  <si>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</si>
  <si>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</si>
  <si>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</si>
  <si>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</si>
  <si>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</si>
  <si>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</si>
  <si>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</si>
  <si>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</si>
  <si>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</si>
  <si>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</si>
  <si>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</si>
  <si>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</si>
  <si>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</si>
  <si>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</si>
  <si>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</si>
  <si>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</si>
  <si>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</si>
  <si>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</si>
  <si>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</si>
  <si>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</si>
  <si>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</si>
  <si>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</si>
  <si>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</si>
  <si>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</si>
  <si>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</si>
  <si>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</si>
  <si>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</si>
  <si>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</si>
  <si>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</si>
  <si>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</si>
  <si>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</si>
  <si>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</si>
  <si>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</si>
  <si>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</si>
  <si>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</si>
  <si>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</si>
  <si>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</si>
  <si>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</si>
  <si>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</si>
  <si>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</si>
  <si>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</si>
  <si>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</si>
  <si>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</si>
  <si>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</si>
  <si>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</si>
  <si>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</si>
  <si>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</si>
  <si>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</si>
  <si>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</si>
  <si>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</si>
  <si>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</si>
  <si>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</si>
  <si>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</si>
  <si>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</si>
  <si>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</si>
  <si>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</si>
  <si>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</si>
  <si>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</si>
  <si>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</si>
  <si>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</si>
  <si>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</si>
  <si>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</si>
  <si>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</si>
  <si>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</si>
  <si>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</si>
  <si>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</si>
  <si>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</si>
  <si>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</si>
  <si>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</si>
  <si>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</si>
  <si>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</si>
  <si>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</si>
  <si>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</si>
  <si>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</si>
  <si>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</si>
  <si>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</si>
  <si>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</si>
  <si>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</si>
  <si>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</si>
  <si>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</si>
  <si>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</si>
  <si>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</si>
  <si>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</si>
  <si>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</si>
  <si>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</si>
  <si>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</si>
  <si>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</si>
  <si>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</si>
  <si>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</si>
  <si>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</si>
  <si>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</si>
  <si>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</si>
  <si>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</si>
  <si>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</si>
  <si>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</si>
  <si>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</si>
  <si>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</si>
  <si>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</si>
  <si>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</si>
  <si>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</si>
  <si>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</si>
  <si>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</si>
  <si>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</si>
  <si>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</si>
  <si>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</si>
  <si>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</si>
  <si>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</si>
  <si>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</si>
  <si>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</si>
  <si>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</si>
  <si>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</si>
  <si>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</si>
  <si>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</si>
  <si>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</si>
  <si>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</si>
  <si>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</si>
  <si>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</si>
  <si>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</si>
  <si>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</si>
  <si>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</si>
  <si>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</si>
  <si>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</si>
  <si>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</si>
  <si>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</si>
  <si>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</si>
  <si>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</si>
  <si>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</si>
  <si>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</si>
  <si>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</si>
  <si>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</si>
  <si>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</si>
  <si>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</si>
  <si>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</si>
  <si>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</si>
  <si>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</si>
  <si>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</si>
  <si>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</si>
  <si>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</si>
  <si>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</si>
  <si>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</si>
  <si>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</si>
  <si>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</si>
  <si>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</si>
  <si>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</si>
  <si>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</si>
  <si>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</si>
  <si>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</si>
  <si>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</si>
  <si>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</si>
  <si>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</si>
  <si>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</si>
  <si>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</si>
  <si>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</si>
  <si>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</si>
  <si>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</si>
  <si>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</si>
  <si>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</si>
  <si>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</si>
  <si>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</si>
  <si>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</si>
  <si>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</si>
  <si>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</si>
  <si>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</si>
  <si>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</si>
  <si>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</si>
  <si>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</si>
  <si>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</si>
  <si>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</si>
  <si>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</si>
  <si>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</si>
  <si>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</si>
  <si>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</si>
  <si>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</si>
  <si>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</si>
  <si>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</si>
  <si>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</si>
  <si>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</si>
  <si>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</si>
  <si>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</si>
  <si>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</si>
  <si>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</si>
  <si>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</si>
  <si>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</si>
  <si>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</si>
  <si>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</si>
  <si>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</si>
  <si>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</si>
  <si>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</si>
  <si>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</si>
  <si>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</si>
  <si>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</si>
  <si>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</si>
  <si>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</si>
  <si>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</si>
  <si>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</si>
  <si>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</si>
  <si>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</si>
  <si>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</si>
  <si>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</si>
  <si>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</si>
  <si>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</si>
  <si>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</si>
  <si>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</si>
  <si>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</si>
  <si>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</si>
  <si>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</si>
  <si>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</si>
  <si>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</si>
  <si>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</si>
  <si>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</si>
  <si>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</si>
  <si>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</si>
  <si>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</si>
  <si>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</si>
  <si>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</si>
  <si>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</si>
  <si>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</si>
  <si>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</si>
  <si>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</si>
  <si>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</si>
  <si>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</si>
  <si>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</si>
  <si>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</si>
  <si>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</si>
  <si>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</si>
  <si>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</si>
  <si>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</si>
  <si>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</si>
  <si>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</si>
  <si>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</si>
  <si>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</si>
  <si>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</si>
  <si>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</si>
  <si>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</si>
  <si>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</si>
  <si>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</si>
  <si>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</si>
  <si>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</si>
  <si>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</si>
  <si>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</si>
  <si>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</si>
  <si>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</si>
  <si>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</si>
  <si>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</si>
  <si>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</si>
  <si>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</si>
  <si>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</si>
  <si>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</si>
  <si>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</si>
  <si>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</si>
  <si>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</si>
  <si>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</si>
  <si>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</si>
  <si>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</si>
  <si>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</si>
  <si>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</si>
  <si>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</si>
  <si>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</si>
  <si>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</si>
  <si>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</si>
  <si>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</si>
  <si>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</si>
  <si>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</si>
  <si>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</si>
  <si>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</si>
  <si>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</si>
  <si>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</si>
  <si>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</si>
  <si>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</si>
  <si>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</si>
  <si>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</si>
  <si>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</si>
  <si>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</si>
  <si>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</si>
  <si>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</si>
  <si>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</si>
  <si>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</si>
  <si>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</si>
  <si>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</si>
  <si>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</si>
  <si>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</si>
  <si>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</si>
  <si>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</si>
  <si>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</si>
  <si>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</si>
  <si>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</si>
  <si>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</si>
  <si>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</si>
  <si>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</si>
  <si>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</si>
  <si>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</si>
  <si>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</si>
  <si>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</si>
  <si>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</si>
  <si>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</si>
  <si>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</si>
  <si>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</si>
  <si>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</si>
  <si>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</si>
  <si>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</si>
  <si>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</si>
  <si>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</si>
  <si>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</si>
  <si>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</si>
  <si>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</si>
  <si>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</si>
  <si>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</si>
  <si>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</si>
  <si>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</si>
  <si>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</si>
  <si>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</si>
  <si>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</si>
  <si>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</si>
  <si>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</si>
  <si>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</si>
  <si>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</si>
  <si>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</si>
  <si>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</si>
  <si>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</si>
  <si>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</si>
  <si>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</si>
  <si>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</si>
  <si>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</si>
  <si>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</si>
  <si>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</si>
  <si>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</si>
  <si>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</si>
  <si>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</si>
  <si>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</si>
  <si>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</si>
  <si>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</si>
  <si>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</si>
  <si>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</si>
  <si>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</si>
  <si>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</si>
  <si>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</si>
  <si>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</si>
  <si>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</si>
  <si>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</si>
  <si>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</si>
  <si>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</si>
  <si>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</si>
  <si>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</si>
  <si>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</si>
  <si>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</si>
  <si>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</si>
  <si>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</si>
  <si>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</si>
  <si>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</si>
  <si>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</si>
  <si>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</si>
  <si>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</si>
  <si>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</si>
  <si>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</si>
  <si>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</si>
  <si>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</si>
  <si>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</si>
  <si>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</si>
  <si>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</si>
  <si>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</si>
  <si>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</si>
  <si>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</si>
  <si>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</si>
  <si>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</si>
  <si>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</si>
  <si>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</si>
  <si>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</si>
  <si>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</si>
  <si>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</si>
  <si>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</si>
  <si>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</si>
  <si>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</si>
  <si>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</si>
  <si>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</si>
  <si>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</si>
  <si>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</si>
  <si>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</si>
  <si>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</si>
  <si>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</si>
  <si>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</si>
  <si>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</si>
  <si>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</si>
  <si>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</si>
  <si>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</si>
  <si>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</si>
  <si>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</si>
  <si>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</si>
  <si>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</si>
  <si>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</si>
  <si>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</si>
  <si>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</si>
  <si>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</si>
  <si>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</si>
  <si>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</si>
  <si>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</si>
  <si>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</si>
  <si>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</si>
  <si>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</si>
  <si>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</si>
  <si>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</si>
  <si>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</si>
  <si>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</si>
  <si>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</si>
  <si>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</si>
  <si>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</si>
  <si>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</si>
  <si>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</si>
  <si>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</si>
  <si>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</si>
  <si>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</si>
  <si>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</si>
  <si>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</si>
  <si>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</si>
  <si>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</si>
  <si>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</si>
  <si>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</si>
  <si>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</si>
  <si>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</si>
  <si>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</si>
  <si>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</si>
  <si>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</si>
  <si>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</si>
  <si>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</si>
  <si>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</si>
  <si>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</si>
  <si>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</si>
  <si>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</si>
  <si>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</si>
  <si>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</si>
  <si>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</si>
  <si>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</si>
  <si>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</si>
  <si>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</si>
  <si>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</si>
  <si>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</si>
  <si>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</si>
  <si>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</si>
  <si>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</si>
  <si>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</si>
  <si>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</si>
  <si>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</si>
  <si>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</si>
  <si>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</si>
  <si>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</si>
  <si>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</si>
  <si>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</si>
  <si>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</si>
  <si>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</si>
  <si>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</si>
  <si>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</si>
  <si>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</si>
  <si>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</si>
  <si>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</si>
  <si>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</si>
  <si>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</si>
  <si>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</si>
  <si>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</si>
  <si>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</si>
  <si>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</si>
  <si>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</si>
  <si>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</si>
  <si>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</si>
  <si>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</si>
  <si>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</si>
  <si>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</si>
  <si>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</si>
  <si>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</si>
  <si>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</si>
  <si>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</si>
  <si>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</si>
  <si>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</si>
  <si>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</si>
  <si>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</si>
  <si>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</si>
  <si>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</si>
  <si>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</si>
  <si>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</si>
  <si>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</si>
  <si>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</si>
  <si>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</si>
  <si>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</si>
  <si>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</si>
  <si>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</si>
  <si>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</si>
  <si>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</si>
  <si>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</si>
  <si>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</si>
  <si>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</si>
  <si>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</si>
  <si>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</si>
  <si>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</si>
  <si>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</si>
  <si>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</si>
  <si>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</si>
  <si>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</si>
  <si>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</si>
  <si>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</si>
  <si>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</si>
  <si>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</si>
  <si>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</si>
  <si>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</si>
  <si>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</si>
  <si>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</si>
  <si>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</si>
  <si>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</si>
  <si>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</si>
  <si>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</si>
  <si>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</si>
  <si>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</si>
  <si>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</si>
  <si>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</si>
  <si>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</si>
  <si>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</si>
  <si>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</si>
  <si>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</si>
  <si>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</si>
  <si>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</si>
  <si>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</si>
  <si>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</si>
  <si>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</si>
  <si>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</si>
  <si>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</si>
  <si>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</si>
  <si>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</si>
  <si>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</si>
  <si>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</si>
  <si>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</si>
  <si>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</si>
  <si>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</si>
  <si>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</si>
  <si>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</si>
  <si>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</si>
  <si>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</si>
  <si>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</si>
  <si>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</si>
  <si>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</si>
  <si>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</si>
  <si>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</si>
  <si>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</si>
  <si>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</si>
  <si>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</si>
  <si>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</si>
  <si>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</si>
  <si>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</si>
  <si>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</si>
  <si>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</si>
  <si>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</si>
  <si>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</si>
  <si>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</si>
  <si>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</si>
  <si>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</si>
  <si>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</si>
  <si>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</si>
  <si>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</si>
  <si>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</si>
  <si>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</si>
  <si>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</si>
  <si>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</si>
  <si>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</si>
  <si>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</si>
  <si>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</si>
  <si>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</si>
  <si>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</si>
  <si>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</si>
  <si>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</si>
  <si>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</si>
  <si>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</si>
  <si>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</si>
  <si>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</si>
  <si>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</si>
  <si>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</si>
  <si>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</si>
  <si>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</si>
  <si>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</si>
  <si>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</si>
  <si>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</si>
  <si>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</si>
  <si>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</si>
  <si>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</si>
  <si>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</si>
  <si>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</si>
  <si>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</si>
  <si>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</si>
  <si>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</si>
  <si>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</si>
  <si>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</si>
  <si>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</si>
  <si>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</si>
  <si>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</si>
  <si>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</si>
  <si>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</si>
  <si>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</si>
  <si>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</si>
  <si>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</si>
  <si>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</si>
  <si>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</si>
  <si>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</si>
  <si>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</si>
  <si>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</si>
  <si>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</si>
  <si>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</si>
  <si>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</si>
  <si>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</si>
  <si>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</si>
  <si>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</si>
  <si>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</si>
  <si>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</si>
  <si>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</si>
  <si>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</si>
  <si>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</si>
  <si>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</si>
  <si>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</si>
  <si>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</si>
  <si>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</si>
  <si>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</si>
  <si>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</si>
  <si>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</si>
  <si>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</si>
  <si>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</si>
  <si>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</si>
  <si>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</si>
  <si>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</si>
  <si>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</si>
  <si>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</si>
  <si>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</si>
  <si>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</si>
  <si>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</si>
  <si>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</si>
  <si>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</si>
  <si>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</si>
  <si>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</si>
  <si>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</si>
  <si>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</si>
  <si>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</si>
  <si>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</si>
  <si>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</si>
  <si>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</si>
  <si>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</si>
  <si>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</si>
  <si>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</si>
  <si>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</si>
  <si>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</si>
  <si>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</si>
  <si>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</si>
  <si>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</si>
  <si>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</si>
  <si>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</si>
  <si>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</si>
  <si>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</si>
  <si>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</si>
  <si>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</si>
  <si>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</si>
  <si>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</si>
  <si>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</si>
  <si>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</si>
  <si>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</si>
  <si>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</si>
  <si>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</si>
  <si>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</si>
  <si>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</si>
  <si>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</si>
  <si>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</si>
  <si>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</si>
  <si>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</si>
  <si>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</si>
  <si>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</si>
  <si>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</si>
  <si>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</si>
  <si>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</si>
  <si>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</si>
  <si>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</si>
  <si>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</si>
  <si>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</si>
  <si>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</si>
  <si>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</si>
  <si>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</si>
  <si>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</si>
  <si>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</si>
  <si>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</si>
  <si>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</si>
  <si>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</si>
  <si>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</si>
  <si>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</si>
  <si>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</si>
  <si>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</si>
  <si>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</si>
  <si>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</si>
  <si>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</si>
  <si>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</si>
  <si>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</si>
  <si>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</si>
  <si>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</si>
  <si>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</si>
  <si>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</si>
  <si>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</si>
  <si>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</si>
  <si>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</si>
  <si>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</si>
  <si>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</si>
  <si>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</si>
  <si>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</si>
  <si>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</si>
  <si>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</si>
  <si>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</si>
  <si>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</si>
  <si>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</si>
  <si>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</si>
  <si>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</si>
  <si>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</si>
  <si>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</si>
  <si>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</si>
  <si>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</si>
  <si>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</si>
  <si>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</si>
  <si>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</si>
  <si>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</si>
  <si>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</si>
  <si>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</si>
  <si>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</si>
  <si>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</si>
  <si>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</si>
  <si>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</si>
  <si>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</si>
  <si>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</si>
  <si>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</si>
  <si>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</si>
  <si>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</si>
  <si>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</si>
  <si>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</si>
  <si>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</si>
  <si>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</si>
  <si>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</si>
  <si>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</si>
  <si>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</si>
  <si>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</si>
  <si>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</si>
  <si>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</si>
  <si>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</si>
  <si>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</si>
  <si>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</si>
  <si>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</si>
  <si>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</si>
  <si>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</si>
  <si>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</si>
  <si>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</si>
  <si>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</si>
  <si>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</si>
  <si>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</si>
  <si>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</si>
  <si>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</si>
  <si>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</si>
  <si>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</si>
  <si>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</si>
  <si>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</si>
  <si>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</si>
  <si>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</si>
  <si>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</si>
  <si>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</si>
  <si>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</si>
  <si>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</si>
  <si>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</si>
  <si>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</si>
  <si>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</si>
  <si>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</si>
  <si>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</si>
  <si>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</si>
  <si>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</si>
  <si>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</si>
  <si>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</si>
  <si>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</si>
  <si>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</si>
  <si>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</si>
  <si>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</si>
  <si>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</si>
  <si>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</si>
  <si>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</si>
  <si>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</si>
  <si>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</si>
  <si>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</si>
  <si>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</si>
  <si>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</si>
  <si>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</si>
  <si>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</si>
  <si>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</si>
  <si>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</si>
  <si>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</si>
  <si>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</si>
  <si>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</si>
  <si>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</si>
  <si>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</si>
  <si>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</si>
  <si>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</si>
  <si>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</si>
  <si>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</si>
  <si>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</si>
  <si>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</si>
  <si>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</si>
  <si>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</si>
  <si>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</si>
  <si>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</si>
  <si>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</si>
  <si>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</si>
  <si>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</si>
  <si>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</si>
  <si>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</si>
  <si>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</si>
  <si>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</si>
  <si>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</si>
  <si>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</si>
  <si>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</si>
  <si>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</si>
  <si>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</si>
  <si>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</si>
  <si>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</si>
  <si>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</si>
  <si>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</si>
  <si>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</si>
  <si>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</si>
  <si>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</si>
  <si>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</si>
  <si>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</si>
  <si>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</si>
  <si>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</si>
  <si>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</si>
  <si>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</si>
  <si>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</si>
  <si>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</si>
  <si>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</si>
  <si>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</si>
  <si>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</si>
  <si>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</si>
  <si>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</si>
  <si>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</si>
  <si>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</si>
  <si>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</si>
  <si>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</si>
  <si>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</si>
  <si>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</si>
  <si>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</si>
  <si>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</si>
  <si>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</si>
  <si>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</si>
  <si>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</si>
  <si>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</si>
  <si>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</si>
  <si>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</si>
  <si>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</si>
  <si>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</si>
  <si>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</si>
  <si>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</si>
  <si>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</si>
  <si>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</si>
  <si>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</si>
  <si>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</si>
  <si>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</si>
  <si>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</si>
  <si>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</si>
  <si>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</si>
  <si>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</si>
  <si>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</si>
  <si>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</si>
  <si>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</si>
  <si>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</si>
  <si>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</si>
  <si>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</si>
  <si>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</si>
  <si>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</si>
  <si>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</si>
  <si>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</si>
  <si>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</si>
  <si>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</si>
  <si>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</si>
  <si>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</si>
  <si>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</si>
  <si>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</si>
  <si>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</si>
  <si>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</si>
  <si>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</si>
  <si>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</si>
  <si>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</si>
  <si>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</si>
  <si>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</si>
  <si>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</si>
  <si>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</si>
  <si>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</si>
  <si>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</si>
  <si>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</si>
  <si>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</si>
  <si>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</si>
  <si>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</si>
  <si>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</si>
  <si>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</si>
  <si>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</si>
  <si>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</si>
  <si>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</si>
  <si>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</si>
  <si>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</si>
  <si>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</si>
  <si>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</si>
  <si>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</si>
  <si>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</si>
  <si>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</si>
  <si>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</si>
  <si>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</si>
  <si>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</si>
  <si>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</si>
  <si>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</si>
  <si>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</si>
  <si>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</si>
  <si>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</si>
  <si>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</si>
  <si>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</si>
  <si>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</si>
  <si>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</si>
  <si>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</si>
  <si>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</si>
  <si>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</si>
  <si>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</si>
  <si>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</si>
  <si>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</si>
  <si>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</si>
  <si>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</si>
  <si>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</si>
  <si>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</si>
  <si>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</si>
  <si>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</si>
  <si>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</si>
  <si>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</si>
  <si>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</si>
  <si>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</si>
  <si>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</si>
  <si>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</si>
  <si>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</si>
  <si>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</si>
  <si>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</si>
  <si>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</si>
  <si>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</si>
  <si>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</si>
  <si>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</si>
  <si>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</si>
  <si>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</si>
  <si>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</si>
  <si>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</si>
  <si>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</si>
  <si>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</si>
  <si>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</si>
  <si>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</si>
  <si>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</si>
  <si>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</si>
  <si>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</si>
  <si>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</si>
  <si>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</si>
  <si>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</si>
  <si>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</si>
  <si>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</si>
  <si>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</si>
  <si>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</si>
  <si>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</si>
  <si>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</si>
  <si>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</si>
  <si>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</si>
  <si>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</si>
  <si>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</si>
  <si>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</si>
  <si>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</si>
  <si>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</si>
  <si>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</si>
  <si>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</si>
  <si>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</si>
  <si>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</si>
  <si>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</si>
  <si>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</si>
  <si>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</si>
  <si>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</si>
  <si>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</si>
  <si>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</si>
  <si>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</si>
  <si>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</si>
  <si>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</si>
  <si>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</si>
  <si>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</si>
  <si>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</si>
  <si>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</si>
  <si>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</si>
  <si>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</si>
  <si>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</si>
  <si>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</si>
  <si>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</si>
  <si>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</si>
  <si>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</si>
  <si>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</si>
  <si>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</si>
  <si>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</si>
  <si>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</si>
  <si>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</si>
  <si>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</si>
  <si>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</si>
  <si>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</si>
  <si>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</si>
  <si>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</si>
  <si>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</si>
  <si>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</si>
  <si>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</si>
  <si>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</si>
  <si>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</si>
  <si>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</si>
  <si>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</si>
  <si>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</si>
  <si>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</si>
  <si>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</si>
  <si>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</si>
  <si>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</si>
  <si>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</si>
  <si>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</si>
  <si>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</si>
  <si>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</si>
  <si>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</si>
  <si>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</si>
  <si>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</si>
  <si>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</si>
  <si>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</si>
  <si>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</si>
  <si>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</si>
  <si>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</si>
  <si>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</si>
  <si>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</si>
  <si>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</si>
  <si>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</si>
  <si>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</si>
  <si>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</si>
  <si>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</si>
  <si>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</si>
  <si>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</si>
  <si>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</si>
  <si>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</si>
  <si>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</si>
  <si>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</si>
  <si>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</si>
  <si>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</si>
  <si>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</si>
  <si>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</si>
  <si>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</si>
  <si>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</si>
  <si>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</si>
  <si>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</si>
  <si>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</si>
  <si>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</si>
  <si>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</si>
  <si>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</si>
  <si>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</si>
  <si>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</si>
  <si>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</si>
  <si>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</si>
  <si>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</si>
  <si>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</si>
  <si>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</si>
  <si>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</si>
  <si>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</si>
  <si>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</si>
  <si>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</si>
  <si>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</si>
  <si>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</si>
  <si>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</si>
  <si>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</si>
  <si>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</si>
  <si>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</si>
  <si>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</si>
  <si>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</si>
  <si>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</si>
  <si>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</si>
  <si>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</si>
  <si>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</si>
  <si>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</si>
  <si>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</si>
  <si>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</si>
  <si>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</si>
  <si>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</si>
  <si>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</si>
  <si>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</si>
  <si>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</si>
  <si>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</si>
  <si>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</si>
  <si>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</si>
  <si>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</si>
  <si>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</si>
  <si>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</si>
  <si>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</si>
  <si>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</si>
  <si>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</si>
  <si>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</si>
  <si>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</si>
  <si>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</si>
  <si>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</si>
  <si>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</si>
  <si>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</si>
  <si>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</si>
  <si>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</si>
  <si>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</si>
  <si>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</si>
  <si>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</si>
  <si>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</si>
  <si>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</si>
  <si>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</si>
  <si>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</si>
  <si>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</si>
  <si>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</si>
  <si>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</si>
  <si>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</si>
  <si>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</si>
  <si>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</si>
  <si>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</si>
  <si>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</si>
  <si>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</si>
  <si>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</si>
  <si>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</si>
  <si>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</si>
  <si>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</si>
  <si>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</si>
  <si>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</si>
  <si>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</si>
  <si>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</si>
  <si>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</si>
  <si>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</si>
  <si>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</si>
  <si>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</si>
  <si>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</si>
  <si>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</si>
  <si>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</si>
  <si>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</si>
  <si>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</si>
  <si>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</si>
  <si>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</si>
  <si>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</si>
  <si>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</si>
  <si>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</si>
  <si>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</si>
  <si>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</si>
  <si>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</si>
  <si>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</si>
  <si>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</si>
  <si>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</si>
  <si>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</si>
  <si>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</si>
  <si>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</si>
  <si>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</si>
  <si>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</si>
  <si>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</si>
  <si>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</si>
  <si>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</si>
  <si>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</si>
  <si>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</si>
  <si>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</si>
  <si>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</si>
  <si>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</si>
  <si>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</si>
  <si>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</si>
  <si>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</si>
  <si>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</si>
  <si>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</si>
  <si>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</si>
  <si>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</si>
  <si>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</si>
  <si>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</si>
  <si>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</si>
  <si>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</si>
  <si>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</si>
  <si>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</si>
  <si>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</si>
  <si>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</si>
  <si>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</si>
  <si>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</si>
  <si>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</si>
  <si>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</si>
  <si>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</si>
  <si>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</si>
  <si>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</si>
  <si>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</si>
  <si>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</si>
  <si>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</si>
  <si>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</si>
  <si>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</si>
  <si>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</si>
  <si>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</si>
  <si>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</si>
  <si>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</si>
  <si>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</si>
  <si>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</si>
  <si>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</si>
  <si>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</si>
  <si>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</si>
  <si>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</si>
  <si>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</si>
  <si>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</si>
  <si>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</si>
  <si>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</si>
  <si>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</si>
  <si>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</si>
  <si>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</si>
  <si>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</si>
  <si>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</si>
  <si>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</si>
  <si>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</si>
  <si>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</si>
  <si>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</si>
  <si>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</si>
  <si>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</si>
  <si>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</si>
  <si>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</si>
  <si>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</si>
  <si>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</si>
  <si>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</si>
  <si>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</si>
  <si>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</si>
  <si>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</si>
  <si>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</si>
  <si>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</si>
  <si>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</si>
  <si>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</si>
  <si>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</si>
  <si>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</si>
  <si>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</si>
  <si>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</si>
  <si>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</si>
  <si>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</si>
  <si>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</si>
  <si>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</si>
  <si>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</si>
  <si>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</si>
  <si>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</si>
  <si>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</si>
  <si>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</si>
  <si>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</si>
  <si>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</si>
  <si>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</si>
  <si>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</si>
  <si>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</si>
  <si>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</si>
  <si>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</si>
  <si>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</si>
  <si>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</si>
  <si>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</si>
  <si>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</si>
  <si>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</si>
  <si>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</si>
  <si>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</si>
  <si>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</si>
  <si>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</si>
  <si>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</si>
  <si>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</si>
  <si>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</si>
  <si>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</si>
  <si>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</si>
  <si>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</si>
  <si>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</si>
  <si>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</si>
  <si>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</si>
  <si>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</si>
  <si>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</si>
  <si>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</si>
  <si>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</si>
  <si>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</si>
  <si>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</si>
  <si>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</si>
  <si>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</si>
  <si>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</si>
  <si>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</si>
  <si>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</si>
  <si>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</si>
  <si>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</si>
  <si>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</si>
  <si>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</si>
  <si>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</si>
  <si>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</si>
  <si>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</si>
  <si>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</si>
  <si>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</si>
  <si>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</si>
  <si>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</si>
  <si>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</si>
  <si>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</si>
  <si>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</si>
  <si>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</si>
  <si>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</si>
  <si>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</si>
  <si>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</si>
  <si>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</si>
  <si>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</si>
  <si>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</si>
  <si>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</si>
  <si>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</si>
  <si>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</si>
  <si>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</si>
  <si>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</si>
  <si>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</si>
  <si>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</si>
  <si>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</si>
  <si>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</si>
  <si>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</si>
  <si>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</si>
  <si>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</si>
  <si>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</si>
  <si>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</si>
  <si>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</si>
  <si>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</si>
  <si>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</si>
  <si>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</si>
  <si>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</si>
  <si>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</si>
  <si>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</si>
  <si>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</si>
  <si>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</si>
  <si>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</si>
  <si>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</si>
  <si>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</si>
  <si>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</si>
  <si>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</si>
  <si>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</si>
  <si>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</si>
  <si>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</si>
  <si>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</si>
  <si>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</si>
  <si>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</si>
  <si>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</si>
  <si>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</si>
  <si>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</si>
  <si>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</si>
  <si>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</si>
  <si>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</si>
  <si>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</si>
  <si>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</si>
  <si>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</si>
  <si>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</si>
  <si>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</si>
  <si>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</si>
  <si>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</si>
  <si>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</si>
  <si>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</si>
  <si>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</si>
  <si>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</si>
  <si>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</si>
  <si>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</si>
  <si>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</si>
  <si>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</si>
  <si>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</si>
  <si>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</si>
  <si>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</si>
  <si>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</si>
  <si>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</si>
  <si>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</si>
  <si>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</si>
  <si>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</si>
  <si>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</si>
  <si>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</si>
  <si>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</si>
  <si>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</si>
  <si>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</si>
  <si>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</si>
  <si>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</si>
  <si>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</si>
  <si>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</si>
  <si>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</si>
  <si>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</si>
  <si>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</si>
  <si>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</si>
  <si>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</si>
  <si>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</si>
  <si>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</si>
  <si>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</si>
  <si>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</si>
  <si>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</si>
  <si>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</si>
  <si>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</si>
  <si>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</si>
  <si>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</si>
  <si>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</si>
  <si>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</si>
  <si>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</si>
  <si>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</si>
  <si>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</si>
  <si>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</si>
  <si>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</si>
  <si>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</si>
  <si>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</si>
  <si>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</si>
  <si>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</si>
  <si>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</si>
  <si>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</si>
  <si>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</si>
  <si>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</si>
  <si>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</si>
  <si>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</si>
  <si>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</si>
  <si>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</si>
  <si>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</si>
  <si>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</si>
  <si>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</si>
  <si>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</si>
  <si>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</si>
  <si>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</si>
  <si>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</si>
  <si>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</si>
  <si>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</si>
  <si>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</si>
  <si>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</si>
  <si>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</si>
  <si>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</si>
  <si>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</si>
  <si>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</si>
  <si>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</si>
  <si>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</si>
  <si>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</si>
  <si>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</si>
  <si>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</si>
  <si>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</si>
  <si>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</si>
  <si>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</si>
  <si>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</si>
  <si>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</si>
  <si>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</si>
  <si>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</si>
  <si>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</si>
  <si>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</si>
  <si>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</si>
  <si>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</si>
  <si>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</si>
  <si>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</si>
  <si>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</si>
  <si>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</si>
  <si>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</si>
  <si>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</si>
  <si>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</si>
  <si>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</si>
  <si>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</si>
  <si>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</si>
  <si>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</si>
  <si>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</si>
  <si>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</si>
  <si>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</si>
  <si>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</si>
  <si>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</si>
  <si>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</si>
  <si>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</si>
  <si>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</si>
  <si>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</si>
  <si>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</si>
  <si>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</si>
  <si>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</si>
  <si>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</si>
  <si>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</si>
  <si>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</si>
  <si>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</si>
  <si>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</si>
  <si>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</si>
  <si>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</si>
  <si>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</si>
  <si>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</si>
  <si>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</si>
  <si>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</si>
  <si>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</si>
  <si>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</si>
  <si>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</si>
  <si>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</si>
  <si>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</si>
  <si>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</si>
  <si>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</si>
  <si>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</si>
  <si>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</si>
  <si>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</si>
  <si>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</si>
  <si>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</si>
  <si>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</si>
  <si>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</si>
  <si>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</si>
  <si>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</si>
  <si>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</si>
  <si>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</si>
  <si>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</si>
  <si>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</si>
  <si>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</si>
  <si>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</si>
  <si>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</si>
  <si>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</si>
  <si>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</si>
  <si>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</si>
  <si>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</si>
  <si>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</si>
  <si>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</si>
  <si>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</si>
  <si>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</si>
  <si>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</si>
  <si>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</si>
  <si>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</si>
  <si>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</si>
  <si>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</si>
  <si>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</si>
  <si>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</si>
  <si>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</si>
  <si>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</si>
  <si>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</si>
  <si>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</si>
  <si>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</si>
  <si>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</si>
  <si>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</si>
  <si>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</si>
  <si>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</si>
  <si>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</si>
  <si>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</si>
  <si>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</si>
  <si>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</si>
  <si>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</si>
  <si>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</si>
  <si>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</si>
  <si>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</si>
  <si>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</si>
  <si>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</si>
  <si>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</si>
  <si>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</si>
  <si>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</si>
  <si>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</si>
  <si>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</si>
  <si>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</si>
  <si>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</si>
  <si>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</si>
  <si>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</si>
  <si>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</si>
  <si>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</si>
  <si>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</si>
  <si>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</si>
  <si>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</si>
  <si>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</si>
  <si>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</si>
  <si>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</si>
  <si>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</si>
  <si>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</si>
  <si>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</si>
  <si>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</si>
  <si>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</si>
  <si>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</si>
  <si>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</si>
  <si>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</si>
  <si>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</si>
  <si>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</si>
  <si>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</si>
  <si>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</si>
  <si>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</si>
  <si>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</si>
  <si>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</si>
  <si>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</si>
  <si>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</si>
  <si>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</si>
  <si>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</si>
  <si>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</si>
  <si>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</si>
  <si>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</si>
  <si>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</si>
  <si>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</si>
  <si>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</si>
  <si>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</si>
  <si>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</si>
  <si>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</si>
  <si>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</si>
  <si>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</si>
  <si>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</si>
  <si>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</si>
  <si>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</si>
  <si>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</si>
  <si>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</si>
  <si>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</si>
  <si>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</si>
  <si>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</si>
  <si>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</si>
  <si>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</si>
  <si>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</si>
  <si>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</si>
  <si>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</si>
  <si>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</si>
  <si>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</si>
  <si>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</si>
  <si>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</si>
  <si>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</si>
  <si>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</si>
  <si>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</si>
  <si>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</si>
  <si>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</si>
  <si>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</si>
  <si>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</si>
  <si>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</si>
  <si>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</si>
  <si>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</si>
  <si>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</si>
  <si>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</si>
  <si>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</si>
  <si>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</si>
  <si>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</si>
  <si>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</si>
  <si>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</si>
  <si>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</si>
  <si>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</si>
  <si>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</si>
  <si>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</si>
  <si>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</si>
  <si>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</si>
  <si>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</si>
  <si>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</si>
  <si>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</si>
  <si>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</si>
  <si>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</si>
  <si>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</si>
  <si>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</si>
  <si>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</si>
  <si>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</si>
  <si>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</si>
  <si>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</si>
  <si>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</si>
  <si>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</si>
  <si>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</si>
  <si>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</si>
  <si>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</si>
  <si>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</si>
  <si>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</si>
  <si>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</si>
  <si>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</si>
  <si>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</si>
  <si>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</si>
  <si>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</si>
  <si>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</si>
  <si>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</si>
  <si>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</si>
  <si>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</si>
  <si>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</si>
  <si>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</si>
  <si>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</si>
  <si>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</si>
  <si>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</si>
  <si>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</si>
  <si>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</si>
  <si>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</si>
  <si>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</si>
  <si>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</si>
  <si>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</si>
  <si>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</si>
  <si>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</si>
  <si>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</si>
  <si>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</si>
  <si>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</si>
  <si>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</si>
  <si>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</si>
  <si>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</si>
  <si>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</si>
  <si>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</si>
  <si>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</si>
  <si>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</si>
  <si>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</si>
  <si>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</si>
  <si>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</si>
  <si>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</si>
  <si>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</si>
  <si>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</si>
  <si>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</si>
  <si>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</si>
  <si>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</si>
  <si>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</si>
  <si>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</si>
  <si>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</si>
  <si>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</si>
  <si>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</si>
  <si>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</si>
  <si>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</si>
  <si>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</si>
  <si>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</si>
  <si>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</si>
  <si>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</si>
  <si>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</si>
  <si>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</si>
  <si>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</si>
  <si>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</si>
  <si>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</si>
  <si>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</si>
  <si>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</si>
  <si>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</si>
  <si>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</si>
  <si>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</si>
  <si>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</si>
  <si>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</si>
  <si>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</si>
  <si>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</si>
  <si>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</si>
  <si>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</si>
  <si>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</si>
  <si>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</si>
  <si>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</si>
  <si>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</si>
  <si>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</si>
  <si>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</si>
  <si>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</si>
  <si>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</si>
  <si>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</si>
  <si>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</si>
  <si>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</si>
  <si>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</si>
  <si>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</si>
  <si>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</si>
  <si>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</si>
  <si>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</si>
  <si>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</si>
  <si>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</si>
  <si>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</si>
  <si>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</si>
  <si>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</si>
  <si>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</si>
  <si>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</si>
  <si>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</si>
  <si>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</si>
  <si>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</si>
  <si>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</si>
  <si>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</si>
  <si>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</si>
  <si>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</si>
  <si>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</si>
  <si>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</si>
  <si>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</si>
  <si>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</si>
  <si>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</si>
  <si>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</si>
  <si>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</si>
  <si>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</si>
  <si>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</si>
  <si>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</si>
  <si>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</si>
  <si>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</si>
  <si>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</si>
  <si>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</si>
  <si>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</si>
  <si>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</si>
  <si>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</si>
  <si>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</si>
  <si>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</si>
  <si>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</si>
  <si>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</si>
  <si>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</si>
  <si>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</si>
  <si>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</si>
  <si>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</si>
  <si>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</si>
  <si>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</si>
  <si>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</si>
  <si>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</si>
  <si>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</si>
  <si>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</si>
  <si>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</si>
  <si>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</si>
  <si>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</si>
  <si>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</si>
  <si>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</si>
  <si>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</si>
  <si>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</si>
  <si>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</si>
  <si>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</si>
  <si>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</si>
  <si>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</si>
  <si>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</si>
  <si>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</si>
  <si>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</si>
  <si>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</si>
  <si>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</si>
  <si>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</si>
  <si>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</si>
  <si>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</si>
  <si>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</si>
  <si>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</si>
  <si>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</si>
  <si>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</si>
  <si>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</si>
  <si>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</si>
  <si>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</si>
  <si>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</si>
  <si>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</si>
  <si>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</si>
  <si>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</si>
  <si>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</si>
  <si>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</si>
  <si>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</si>
  <si>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</si>
  <si>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</si>
  <si>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</si>
  <si>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</si>
  <si>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</si>
  <si>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</si>
  <si>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</si>
  <si>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</si>
  <si>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</si>
  <si>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</si>
  <si>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</si>
  <si>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</si>
  <si>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</si>
  <si>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</si>
  <si>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</si>
  <si>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</si>
  <si>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</si>
  <si>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</si>
  <si>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</si>
  <si>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</si>
  <si>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</si>
  <si>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</si>
  <si>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</si>
  <si>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</si>
  <si>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</si>
  <si>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</si>
  <si>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</si>
  <si>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</si>
  <si>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</si>
  <si>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</si>
  <si>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</si>
  <si>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</si>
  <si>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</si>
  <si>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</si>
  <si>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</si>
  <si>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</si>
  <si>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</si>
  <si>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</si>
  <si>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</si>
  <si>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</si>
  <si>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</si>
  <si>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</si>
  <si>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</si>
  <si>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</si>
  <si>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</si>
  <si>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</si>
  <si>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</si>
  <si>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</si>
  <si>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</si>
  <si>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</si>
  <si>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</si>
  <si>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</si>
  <si>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</si>
  <si>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</si>
  <si>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</si>
  <si>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</si>
  <si>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</si>
  <si>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</si>
  <si>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</si>
  <si>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</si>
  <si>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</si>
  <si>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</si>
  <si>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</si>
  <si>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</si>
  <si>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</si>
  <si>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</si>
  <si>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</si>
  <si>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</si>
  <si>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</si>
  <si>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</si>
  <si>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</si>
  <si>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</si>
  <si>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</si>
  <si>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</si>
  <si>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</si>
  <si>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</si>
  <si>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</si>
  <si>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</si>
  <si>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</si>
  <si>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</si>
  <si>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</si>
  <si>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</si>
  <si>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</si>
  <si>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</si>
  <si>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</si>
  <si>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</si>
  <si>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</si>
  <si>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</si>
  <si>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</si>
  <si>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</si>
  <si>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</si>
  <si>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</si>
  <si>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</si>
  <si>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</si>
  <si>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</si>
  <si>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</si>
  <si>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</si>
  <si>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</si>
  <si>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</si>
  <si>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</si>
  <si>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</si>
  <si>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</si>
  <si>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</si>
  <si>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</si>
  <si>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</si>
  <si>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</si>
  <si>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</si>
  <si>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</si>
  <si>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</si>
  <si>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</si>
  <si>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</si>
  <si>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</si>
  <si>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</si>
  <si>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</si>
  <si>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</si>
  <si>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</si>
  <si>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</si>
  <si>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</si>
  <si>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</si>
  <si>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</si>
  <si>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</si>
  <si>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</si>
  <si>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</si>
  <si>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</si>
  <si>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</si>
  <si>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</si>
  <si>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</si>
  <si>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</si>
  <si>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</si>
  <si>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</si>
  <si>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</si>
  <si>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</si>
  <si>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</si>
  <si>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</si>
  <si>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</si>
  <si>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</si>
  <si>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</si>
  <si>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</si>
  <si>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</si>
  <si>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</si>
  <si>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</si>
  <si>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</si>
  <si>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</si>
  <si>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</si>
  <si>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</si>
  <si>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</si>
  <si>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</si>
  <si>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</si>
  <si>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</si>
  <si>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</si>
  <si>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</si>
  <si>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</si>
  <si>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</si>
  <si>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</si>
  <si>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</si>
  <si>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</si>
  <si>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</si>
  <si>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</si>
  <si>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</si>
  <si>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</si>
  <si>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</si>
  <si>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</si>
  <si>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</si>
  <si>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</si>
  <si>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</si>
  <si>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</si>
  <si>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</si>
  <si>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</si>
  <si>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</si>
  <si>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</si>
  <si>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</si>
  <si>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</si>
  <si>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</si>
  <si>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</si>
  <si>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</si>
  <si>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</si>
  <si>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</si>
  <si>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</si>
  <si>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</si>
  <si>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</si>
  <si>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</si>
  <si>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</si>
  <si>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</si>
  <si>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</si>
  <si>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</si>
  <si>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</si>
  <si>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</si>
  <si>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</si>
  <si>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</si>
  <si>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</si>
  <si>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</si>
  <si>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</si>
  <si>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</si>
  <si>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</si>
  <si>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</si>
  <si>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</si>
  <si>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</si>
  <si>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</si>
  <si>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</si>
  <si>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</si>
  <si>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</si>
  <si>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</si>
  <si>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</si>
  <si>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</si>
  <si>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</si>
  <si>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</si>
  <si>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</si>
  <si>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</si>
  <si>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</si>
  <si>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</si>
  <si>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</si>
  <si>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</si>
  <si>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</si>
  <si>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</si>
  <si>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</si>
  <si>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</si>
  <si>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</si>
  <si>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</si>
  <si>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</si>
  <si>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</si>
  <si>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</si>
  <si>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</si>
  <si>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</si>
  <si>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</si>
  <si>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</si>
  <si>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</si>
  <si>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</si>
  <si>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</si>
  <si>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</si>
  <si>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</si>
  <si>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</si>
  <si>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</si>
  <si>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</si>
  <si>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</si>
  <si>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</si>
  <si>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</si>
  <si>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</si>
  <si>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</si>
  <si>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</si>
  <si>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</si>
  <si>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</si>
  <si>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</si>
  <si>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</si>
  <si>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</si>
  <si>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</si>
  <si>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</si>
  <si>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</si>
  <si>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</si>
  <si>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</si>
  <si>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</si>
  <si>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</si>
  <si>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</si>
  <si>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</si>
  <si>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</si>
  <si>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</si>
  <si>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</si>
  <si>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</si>
  <si>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</si>
  <si>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</si>
  <si>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</si>
  <si>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</si>
  <si>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</si>
  <si>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</si>
  <si>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</si>
  <si>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</si>
  <si>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</si>
  <si>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</si>
  <si>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</si>
  <si>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</si>
  <si>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</si>
  <si>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</si>
  <si>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</si>
  <si>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</si>
  <si>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</si>
  <si>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</si>
  <si>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</si>
  <si>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</si>
  <si>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</si>
  <si>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</si>
  <si>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</si>
  <si>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</si>
  <si>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</si>
  <si>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</si>
  <si>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</si>
  <si>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</si>
  <si>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</si>
  <si>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</si>
  <si>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</si>
  <si>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</si>
  <si>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</si>
  <si>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</si>
  <si>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</si>
  <si>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</si>
  <si>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</si>
  <si>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</si>
  <si>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</si>
  <si>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</si>
  <si>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</si>
  <si>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</si>
  <si>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</si>
  <si>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</si>
  <si>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</si>
  <si>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</si>
  <si>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</si>
  <si>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</si>
  <si>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</si>
  <si>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</si>
  <si>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</si>
  <si>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</si>
  <si>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</si>
  <si>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</si>
  <si>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</si>
  <si>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</si>
  <si>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</si>
  <si>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</si>
  <si>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</si>
  <si>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</si>
  <si>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</si>
  <si>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</si>
  <si>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</si>
  <si>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</si>
  <si>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</si>
  <si>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</si>
  <si>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</si>
  <si>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</si>
  <si>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</si>
  <si>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</si>
  <si>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</si>
  <si>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</si>
  <si>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</si>
  <si>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</si>
  <si>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</si>
  <si>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</si>
  <si>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</si>
  <si>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</si>
  <si>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</si>
  <si>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</si>
  <si>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</si>
  <si>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</si>
  <si>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</si>
  <si>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</si>
  <si>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</si>
  <si>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</si>
  <si>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</si>
  <si>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</si>
  <si>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</si>
  <si>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</si>
  <si>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</si>
  <si>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</si>
  <si>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</si>
  <si>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</si>
  <si>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</si>
  <si>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</si>
  <si>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</si>
  <si>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</si>
  <si>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</si>
  <si>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</si>
  <si>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</si>
  <si>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</si>
  <si>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</si>
  <si>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</si>
  <si>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</si>
  <si>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</si>
  <si>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</si>
  <si>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</si>
  <si>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</si>
  <si>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</si>
  <si>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</si>
  <si>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</si>
  <si>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</si>
  <si>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</si>
  <si>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</si>
  <si>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</si>
  <si>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</si>
  <si>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</si>
  <si>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</si>
  <si>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</si>
  <si>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</si>
  <si>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</si>
  <si>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</si>
  <si>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</si>
  <si>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</si>
  <si>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</si>
  <si>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</si>
  <si>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</si>
  <si>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</si>
  <si>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</si>
  <si>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</si>
  <si>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</si>
  <si>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</si>
  <si>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</si>
  <si>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</si>
  <si>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</si>
  <si>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</si>
  <si>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</si>
  <si>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</si>
  <si>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</si>
  <si>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</si>
  <si>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</si>
  <si>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</si>
  <si>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</si>
  <si>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</si>
  <si>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</si>
  <si>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</si>
  <si>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</si>
  <si>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</si>
  <si>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</si>
  <si>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</si>
  <si>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</si>
  <si>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</si>
  <si>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</si>
  <si>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</si>
  <si>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</si>
  <si>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</si>
  <si>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</si>
  <si>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</si>
  <si>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</si>
  <si>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</si>
  <si>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</si>
  <si>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</si>
  <si>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</si>
  <si>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</si>
  <si>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</si>
  <si>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</si>
  <si>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</si>
  <si>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</si>
  <si>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</si>
  <si>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</si>
  <si>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</si>
  <si>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</si>
  <si>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</si>
  <si>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</si>
  <si>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</si>
  <si>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</si>
  <si>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</si>
  <si>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</si>
  <si>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</si>
  <si>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</si>
  <si>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</si>
  <si>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</si>
  <si>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</si>
  <si>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</si>
  <si>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</si>
  <si>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</si>
  <si>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</si>
  <si>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</si>
  <si>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</si>
  <si>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</si>
  <si>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</si>
  <si>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</si>
  <si>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</si>
  <si>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</si>
  <si>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</si>
  <si>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</si>
  <si>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</si>
  <si>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</si>
  <si>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</si>
  <si>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</si>
  <si>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</si>
  <si>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</si>
  <si>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</si>
  <si>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</si>
  <si>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</si>
  <si>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</si>
  <si>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</si>
  <si>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</si>
  <si>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</si>
  <si>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</si>
  <si>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</si>
  <si>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</si>
  <si>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</si>
  <si>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</si>
  <si>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</si>
  <si>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</si>
  <si>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</si>
  <si>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</si>
  <si>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</si>
  <si>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</si>
  <si>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</si>
  <si>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</si>
  <si>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</si>
  <si>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</si>
  <si>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</si>
  <si>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</si>
  <si>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</si>
  <si>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</si>
  <si>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</si>
  <si>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</si>
  <si>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</si>
  <si>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</si>
  <si>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</si>
  <si>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</si>
  <si>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</si>
  <si>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</si>
  <si>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</si>
  <si>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</si>
  <si>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</si>
  <si>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</si>
  <si>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</si>
  <si>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</si>
  <si>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</si>
  <si>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</si>
  <si>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</si>
  <si>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</si>
  <si>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</si>
  <si>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</si>
  <si>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</si>
  <si>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</si>
  <si>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</si>
  <si>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</si>
  <si>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</si>
  <si>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</si>
  <si>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</si>
  <si>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</si>
  <si>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</si>
  <si>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</si>
  <si>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</si>
  <si>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</si>
  <si>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</si>
  <si>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</si>
  <si>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</si>
  <si>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</si>
  <si>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</si>
  <si>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</si>
  <si>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</si>
  <si>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</si>
  <si>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</si>
  <si>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</si>
  <si>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</si>
  <si>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</si>
  <si>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</si>
  <si>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</si>
  <si>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</si>
  <si>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</si>
  <si>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</si>
  <si>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</si>
  <si>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</si>
  <si>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</si>
  <si>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</si>
  <si>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</si>
  <si>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</si>
  <si>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</si>
  <si>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</si>
  <si>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</si>
  <si>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</si>
  <si>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</si>
  <si>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</si>
  <si>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</si>
  <si>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</si>
  <si>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</si>
  <si>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</si>
  <si>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</si>
  <si>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</si>
  <si>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</si>
  <si>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</si>
  <si>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</si>
  <si>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</si>
  <si>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</si>
  <si>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</si>
  <si>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</si>
  <si>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</si>
  <si>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</si>
  <si>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</si>
  <si>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</si>
  <si>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</si>
  <si>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</si>
  <si>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</si>
  <si>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</si>
  <si>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</si>
  <si>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</si>
  <si>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</si>
  <si>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</si>
  <si>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</si>
  <si>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</si>
  <si>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</si>
  <si>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</si>
  <si>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</si>
  <si>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</si>
  <si>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</si>
  <si>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</si>
  <si>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</si>
  <si>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</si>
  <si>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</si>
  <si>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</si>
  <si>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</si>
  <si>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</si>
  <si>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</si>
  <si>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</si>
  <si>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</si>
  <si>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</si>
  <si>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</si>
  <si>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</si>
  <si>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</si>
  <si>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</si>
  <si>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</si>
  <si>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</si>
  <si>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</si>
  <si>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</si>
  <si>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</si>
  <si>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</si>
  <si>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</si>
  <si>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</si>
  <si>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</si>
  <si>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</si>
  <si>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</si>
  <si>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</si>
  <si>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</si>
  <si>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</si>
  <si>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</si>
  <si>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</si>
  <si>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</si>
  <si>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</si>
  <si>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</si>
  <si>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</si>
  <si>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</si>
  <si>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</si>
  <si>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</si>
  <si>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</si>
  <si>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</si>
  <si>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</si>
  <si>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</si>
  <si>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</si>
  <si>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</si>
  <si>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</si>
  <si>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</si>
  <si>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</si>
  <si>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</si>
  <si>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</si>
  <si>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</si>
  <si>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</si>
  <si>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</si>
  <si>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</si>
  <si>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</si>
  <si>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</si>
  <si>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</si>
  <si>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</si>
  <si>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</si>
  <si>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</si>
  <si>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</si>
  <si>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</si>
  <si>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</si>
  <si>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</si>
  <si>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</si>
  <si>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</si>
  <si>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</si>
  <si>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</si>
  <si>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</si>
  <si>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</si>
  <si>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</si>
  <si>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</si>
  <si>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</si>
  <si>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</si>
  <si>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</si>
  <si>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</si>
  <si>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</si>
  <si>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</si>
  <si>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</si>
  <si>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</si>
  <si>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</si>
  <si>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</si>
  <si>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</si>
  <si>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</si>
  <si>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</si>
  <si>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</si>
  <si>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</si>
  <si>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</si>
  <si>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</si>
  <si>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</si>
  <si>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</si>
  <si>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</si>
  <si>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</si>
  <si>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</si>
  <si>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</si>
  <si>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</si>
  <si>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</si>
  <si>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</si>
  <si>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</si>
  <si>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</si>
  <si>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</si>
  <si>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</si>
  <si>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</si>
  <si>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</si>
  <si>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</si>
  <si>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</si>
  <si>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</si>
  <si>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</si>
  <si>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</si>
  <si>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</si>
  <si>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</si>
  <si>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</si>
  <si>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</si>
  <si>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</si>
  <si>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</si>
  <si>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</si>
  <si>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</si>
  <si>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</si>
  <si>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</si>
  <si>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</si>
  <si>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</si>
  <si>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</si>
  <si>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</si>
  <si>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</si>
  <si>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</si>
  <si>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</si>
  <si>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</si>
  <si>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</si>
  <si>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</si>
  <si>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</si>
  <si>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</si>
  <si>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</si>
  <si>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</si>
  <si>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</si>
  <si>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</si>
  <si>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</si>
  <si>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</si>
  <si>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</si>
  <si>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</si>
  <si>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</si>
  <si>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</si>
  <si>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</si>
  <si>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</si>
  <si>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</si>
  <si>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</si>
  <si>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</si>
  <si>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</si>
  <si>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</si>
  <si>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</si>
  <si>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</si>
  <si>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</si>
  <si>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</si>
  <si>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</si>
  <si>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</si>
  <si>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</si>
  <si>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</si>
  <si>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</si>
  <si>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</si>
  <si>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</si>
  <si>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</si>
  <si>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</si>
  <si>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</si>
  <si>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</si>
  <si>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</si>
  <si>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</si>
  <si>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</si>
  <si>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</si>
  <si>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</si>
  <si>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</si>
  <si>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</si>
  <si>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</si>
  <si>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</si>
  <si>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</si>
  <si>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</si>
  <si>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</si>
  <si>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</si>
  <si>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</si>
  <si>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</si>
  <si>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</si>
  <si>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</si>
  <si>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</si>
  <si>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</si>
  <si>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</si>
  <si>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</si>
  <si>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</si>
  <si>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</si>
  <si>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</si>
  <si>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</si>
  <si>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</si>
  <si>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</si>
  <si>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</si>
  <si>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</si>
  <si>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</si>
  <si>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</si>
  <si>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</si>
  <si>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</si>
  <si>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</si>
  <si>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</si>
  <si>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</si>
  <si>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</si>
  <si>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</si>
  <si>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</si>
  <si>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</si>
  <si>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</si>
  <si>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</si>
  <si>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</si>
  <si>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</si>
  <si>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</si>
  <si>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</si>
  <si>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</si>
  <si>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</si>
  <si>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</si>
  <si>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</si>
  <si>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</si>
  <si>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</si>
  <si>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</si>
  <si>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</si>
  <si>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</si>
  <si>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</si>
  <si>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</si>
  <si>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</si>
  <si>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</si>
  <si>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</si>
  <si>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</si>
  <si>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</si>
  <si>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</si>
  <si>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</si>
  <si>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</si>
  <si>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</si>
  <si>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</si>
  <si>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</si>
  <si>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</si>
  <si>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</si>
  <si>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</si>
  <si>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</si>
  <si>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</si>
  <si>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</si>
  <si>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</si>
  <si>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</si>
  <si>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</si>
  <si>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</si>
  <si>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</si>
  <si>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</si>
  <si>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</si>
  <si>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</si>
  <si>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</si>
  <si>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</si>
  <si>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</si>
  <si>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</si>
  <si>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</si>
  <si>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</si>
  <si>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</si>
  <si>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</si>
  <si>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</si>
  <si>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</si>
  <si>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</si>
  <si>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</si>
  <si>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</si>
  <si>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</si>
  <si>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</si>
  <si>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</si>
  <si>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</si>
  <si>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</si>
  <si>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</si>
  <si>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</si>
  <si>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</si>
  <si>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</si>
  <si>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</si>
  <si>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</si>
  <si>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</si>
  <si>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</si>
  <si>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</si>
  <si>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</si>
  <si>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</si>
  <si>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</si>
  <si>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</si>
  <si>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</si>
  <si>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</si>
  <si>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</si>
  <si>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</si>
  <si>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</si>
  <si>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</si>
  <si>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</si>
  <si>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</si>
  <si>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</si>
  <si>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</si>
  <si>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</si>
  <si>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</si>
  <si>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</si>
  <si>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</si>
  <si>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</si>
  <si>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</si>
  <si>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</si>
  <si>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</si>
  <si>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</si>
  <si>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</si>
  <si>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</si>
  <si>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</si>
  <si>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</si>
  <si>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</si>
  <si>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</si>
  <si>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</si>
  <si>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</si>
  <si>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</si>
  <si>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</si>
  <si>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</si>
  <si>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</si>
  <si>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</si>
  <si>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</si>
  <si>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</si>
  <si>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</si>
  <si>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</si>
  <si>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</si>
  <si>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</si>
  <si>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</si>
  <si>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</si>
  <si>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</si>
  <si>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</si>
  <si>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</si>
  <si>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</si>
  <si>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</si>
  <si>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</si>
  <si>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</si>
  <si>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</si>
  <si>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</si>
  <si>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</si>
  <si>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</si>
  <si>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</si>
  <si>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</si>
  <si>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</si>
  <si>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</si>
  <si>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</si>
  <si>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</si>
  <si>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</si>
  <si>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</si>
  <si>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</si>
  <si>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</si>
  <si>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</si>
  <si>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</si>
  <si>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</si>
  <si>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</si>
  <si>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</si>
  <si>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</si>
  <si>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</si>
  <si>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</si>
  <si>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</si>
  <si>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</si>
  <si>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</si>
  <si>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</si>
  <si>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</si>
  <si>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</si>
  <si>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</si>
  <si>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</si>
  <si>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</si>
  <si>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</si>
  <si>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</si>
  <si>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</si>
  <si>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</si>
  <si>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</si>
  <si>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</si>
  <si>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</si>
  <si>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</si>
  <si>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</si>
  <si>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</si>
  <si>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</si>
  <si>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</si>
  <si>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</si>
  <si>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</si>
  <si>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</si>
  <si>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</si>
  <si>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</si>
  <si>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</si>
  <si>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</si>
  <si>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</si>
  <si>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</si>
  <si>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</si>
  <si>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</si>
  <si>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</si>
  <si>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</si>
  <si>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</si>
  <si>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</si>
  <si>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</si>
  <si>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</si>
  <si>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</si>
  <si>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</si>
  <si>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</si>
  <si>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</si>
  <si>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</si>
  <si>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</si>
  <si>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</si>
  <si>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</si>
  <si>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</si>
  <si>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</si>
  <si>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</si>
  <si>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</si>
  <si>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</si>
  <si>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</si>
  <si>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</si>
  <si>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</si>
  <si>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</si>
  <si>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</si>
  <si>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</si>
  <si>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</si>
  <si>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</si>
  <si>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</si>
  <si>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</si>
  <si>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</si>
  <si>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</si>
  <si>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</si>
  <si>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</si>
  <si>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</si>
  <si>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</si>
  <si>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</si>
  <si>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</si>
  <si>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</si>
  <si>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</si>
  <si>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</si>
  <si>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</si>
  <si>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</si>
  <si>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</si>
  <si>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</si>
  <si>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</si>
  <si>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</si>
  <si>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</si>
  <si>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</si>
  <si>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</si>
  <si>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</si>
  <si>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</si>
  <si>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</si>
  <si>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</si>
  <si>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</si>
  <si>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</si>
  <si>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</si>
  <si>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</si>
  <si>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</si>
  <si>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</si>
  <si>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</si>
  <si>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</si>
  <si>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</si>
  <si>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</si>
  <si>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</si>
  <si>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</si>
  <si>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</si>
  <si>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</si>
  <si>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</si>
  <si>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</si>
  <si>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</si>
  <si>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</si>
  <si>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</si>
  <si>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</si>
  <si>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</si>
  <si>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</si>
  <si>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</si>
  <si>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</si>
  <si>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</si>
  <si>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</si>
  <si>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</si>
  <si>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</si>
  <si>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</si>
  <si>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</si>
  <si>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</si>
  <si>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</si>
  <si>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</si>
  <si>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</si>
  <si>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</si>
  <si>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</si>
  <si>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</si>
  <si>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</si>
  <si>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</si>
  <si>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</si>
  <si>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</si>
  <si>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</si>
  <si>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</si>
  <si>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</si>
  <si>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</si>
  <si>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</si>
  <si>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</si>
  <si>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</si>
  <si>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</si>
  <si>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</si>
  <si>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</si>
  <si>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</si>
  <si>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</si>
  <si>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</si>
  <si>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</si>
  <si>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</si>
  <si>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</si>
  <si>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</si>
  <si>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</si>
  <si>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</si>
  <si>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</si>
  <si>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</si>
  <si>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</si>
  <si>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</si>
  <si>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</si>
  <si>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</si>
  <si>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</si>
  <si>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</si>
  <si>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</si>
  <si>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</si>
  <si>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</si>
  <si>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</si>
  <si>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</si>
  <si>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</si>
  <si>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</si>
  <si>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</si>
  <si>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</si>
  <si>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</si>
  <si>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</si>
  <si>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</si>
  <si>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</si>
  <si>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</si>
  <si>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</si>
  <si>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</si>
  <si>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</si>
  <si>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</si>
  <si>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</si>
  <si>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</si>
  <si>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</si>
  <si>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</si>
  <si>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</si>
  <si>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</si>
  <si>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</si>
  <si>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</si>
  <si>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</si>
  <si>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</si>
  <si>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</si>
  <si>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</si>
  <si>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</si>
  <si>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</si>
  <si>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</si>
  <si>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</si>
  <si>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</si>
  <si>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</si>
  <si>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</si>
  <si>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</si>
  <si>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</si>
  <si>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</si>
  <si>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</si>
  <si>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</si>
  <si>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</si>
  <si>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</si>
  <si>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</si>
  <si>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</si>
  <si>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</si>
  <si>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</si>
  <si>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</si>
  <si>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</si>
  <si>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</si>
  <si>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</si>
  <si>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</si>
  <si>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</si>
  <si>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</si>
  <si>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</si>
  <si>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</si>
  <si>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</si>
  <si>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</si>
  <si>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</si>
  <si>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</si>
  <si>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</si>
  <si>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</si>
  <si>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</si>
  <si>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</si>
  <si>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</si>
  <si>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</si>
  <si>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</si>
  <si>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</si>
  <si>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</si>
  <si>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</si>
  <si>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</si>
  <si>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</si>
  <si>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</si>
  <si>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</si>
  <si>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</si>
  <si>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</si>
  <si>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</si>
  <si>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</si>
  <si>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</si>
  <si>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</si>
  <si>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</si>
  <si>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</si>
  <si>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</si>
  <si>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</si>
  <si>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</si>
  <si>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</si>
  <si>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</si>
  <si>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</si>
  <si>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</si>
  <si>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</si>
  <si>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</si>
  <si>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</si>
  <si>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</si>
  <si>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</si>
  <si>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</si>
  <si>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</si>
  <si>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</si>
  <si>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</si>
  <si>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</si>
  <si>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</si>
  <si>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</si>
  <si>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</si>
  <si>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</si>
  <si>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</si>
  <si>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</si>
  <si>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</si>
  <si>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</si>
  <si>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</si>
  <si>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</si>
  <si>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</si>
  <si>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</si>
  <si>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</si>
  <si>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</si>
  <si>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</si>
  <si>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</si>
  <si>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</si>
  <si>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</si>
  <si>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</si>
  <si>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</si>
  <si>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</si>
  <si>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</si>
  <si>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</si>
  <si>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</si>
  <si>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</si>
  <si>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</si>
  <si>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</si>
  <si>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</si>
  <si>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</si>
  <si>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</si>
  <si>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</si>
  <si>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</si>
  <si>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</si>
  <si>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</si>
  <si>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</si>
  <si>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</si>
  <si>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</si>
  <si>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</si>
  <si>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</si>
  <si>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</si>
  <si>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</si>
  <si>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</si>
  <si>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</si>
  <si>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</si>
  <si>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</si>
  <si>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</si>
  <si>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</si>
  <si>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</si>
  <si>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</si>
  <si>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</si>
  <si>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</si>
  <si>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</si>
  <si>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</si>
  <si>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</si>
  <si>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</si>
  <si>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</si>
  <si>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</si>
  <si>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</si>
  <si>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</si>
  <si>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</si>
  <si>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</si>
  <si>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</si>
  <si>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</si>
  <si>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</si>
  <si>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</si>
  <si>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</si>
  <si>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</si>
  <si>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</si>
  <si>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</si>
  <si>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</si>
  <si>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</si>
  <si>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</si>
  <si>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</si>
  <si>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</si>
  <si>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</si>
  <si>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</si>
  <si>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</si>
  <si>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</si>
  <si>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</si>
  <si>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</si>
  <si>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</si>
  <si>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</si>
  <si>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</si>
  <si>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</si>
  <si>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</si>
  <si>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</si>
  <si>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</si>
  <si>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</si>
  <si>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</si>
  <si>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</si>
  <si>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</si>
  <si>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</si>
  <si>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</si>
  <si>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</si>
  <si>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</si>
  <si>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</si>
  <si>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</si>
  <si>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</si>
  <si>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</si>
  <si>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</si>
  <si>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</si>
  <si>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</si>
  <si>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</si>
  <si>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</si>
  <si>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</si>
  <si>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</si>
  <si>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</si>
  <si>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</si>
  <si>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</si>
  <si>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</si>
  <si>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</si>
  <si>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</si>
  <si>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</si>
  <si>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</si>
  <si>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</si>
  <si>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</si>
  <si>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</si>
  <si>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</si>
  <si>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</si>
  <si>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</si>
  <si>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</si>
  <si>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</si>
  <si>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</si>
  <si>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</si>
  <si>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</si>
  <si>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</si>
  <si>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</si>
  <si>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</si>
  <si>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</si>
  <si>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</si>
  <si>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</si>
  <si>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</si>
  <si>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</si>
  <si>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</si>
  <si>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</si>
  <si>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</si>
  <si>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</si>
  <si>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</si>
  <si>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</si>
  <si>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</si>
  <si>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</si>
  <si>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</si>
  <si>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</si>
  <si>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</si>
  <si>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</si>
  <si>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</si>
  <si>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</si>
  <si>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</si>
  <si>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</si>
  <si>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</si>
  <si>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</si>
  <si>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</si>
  <si>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</si>
  <si>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</si>
  <si>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</si>
  <si>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</si>
  <si>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</si>
  <si>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</si>
  <si>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</si>
  <si>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</si>
  <si>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</si>
  <si>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</si>
  <si>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</si>
  <si>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</si>
  <si>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</si>
  <si>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</si>
  <si>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</si>
  <si>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</si>
  <si>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</si>
  <si>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</si>
  <si>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</si>
  <si>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</si>
  <si>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</si>
  <si>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</si>
  <si>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</si>
  <si>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</si>
  <si>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</si>
  <si>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</si>
  <si>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</si>
  <si>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</si>
  <si>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</si>
  <si>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</si>
  <si>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</si>
  <si>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</si>
  <si>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</si>
  <si>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</si>
  <si>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</si>
  <si>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</si>
  <si>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</si>
  <si>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</si>
  <si>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</si>
  <si>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</si>
  <si>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</si>
  <si>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</si>
  <si>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</si>
  <si>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</si>
  <si>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</si>
  <si>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</si>
  <si>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</si>
  <si>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</si>
  <si>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</si>
  <si>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</si>
  <si>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</si>
  <si>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</si>
  <si>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</si>
  <si>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</si>
  <si>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</si>
  <si>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</si>
  <si>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</si>
  <si>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</si>
  <si>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</si>
  <si>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</si>
  <si>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</si>
  <si>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</si>
  <si>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</si>
  <si>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</si>
  <si>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</si>
  <si>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</si>
  <si>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</si>
  <si>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</si>
  <si>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</si>
  <si>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</si>
  <si>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</si>
  <si>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</si>
  <si>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</si>
  <si>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</si>
  <si>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</si>
  <si>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</si>
  <si>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</si>
  <si>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</si>
  <si>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</si>
  <si>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</si>
  <si>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</si>
  <si>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</si>
  <si>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</si>
  <si>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</si>
  <si>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</si>
  <si>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</si>
  <si>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</si>
  <si>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</si>
  <si>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</si>
  <si>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</si>
  <si>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</si>
  <si>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</si>
  <si>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</si>
  <si>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</si>
  <si>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</si>
  <si>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</si>
  <si>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</si>
  <si>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</si>
  <si>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</si>
  <si>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</si>
  <si>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</si>
  <si>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</si>
  <si>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</si>
  <si>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</si>
  <si>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</si>
  <si>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</si>
  <si>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</si>
  <si>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</si>
  <si>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</si>
  <si>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</si>
  <si>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</si>
  <si>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</si>
  <si>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</si>
  <si>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</si>
  <si>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</si>
  <si>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</si>
  <si>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</si>
  <si>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</si>
  <si>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</si>
  <si>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</si>
  <si>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</si>
  <si>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</si>
  <si>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</si>
  <si>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</si>
  <si>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</si>
  <si>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</si>
  <si>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</si>
  <si>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</si>
  <si>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</si>
  <si>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</si>
  <si>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</si>
  <si>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</si>
  <si>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</si>
  <si>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</si>
  <si>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</si>
  <si>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</si>
  <si>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</si>
  <si>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</si>
  <si>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</si>
  <si>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</si>
  <si>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</si>
  <si>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</si>
  <si>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</si>
  <si>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</si>
  <si>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</si>
  <si>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</si>
  <si>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</si>
  <si>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</si>
  <si>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</si>
  <si>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</si>
  <si>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</si>
  <si>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</si>
  <si>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</si>
  <si>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</si>
  <si>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</si>
  <si>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</si>
  <si>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</si>
  <si>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</si>
  <si>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</si>
  <si>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</si>
  <si>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</si>
  <si>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</si>
  <si>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</si>
  <si>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</si>
  <si>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</si>
  <si>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</si>
  <si>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</si>
  <si>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</si>
  <si>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</si>
  <si>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</si>
  <si>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</si>
  <si>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</si>
  <si>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</si>
  <si>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</si>
  <si>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</si>
  <si>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</si>
  <si>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</si>
  <si>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</si>
  <si>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</si>
  <si>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</si>
  <si>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</si>
  <si>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</si>
  <si>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</si>
  <si>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</si>
  <si>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</si>
  <si>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</si>
  <si>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</si>
  <si>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</si>
  <si>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</si>
  <si>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</si>
  <si>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</si>
  <si>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</si>
  <si>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</si>
  <si>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</si>
  <si>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</si>
  <si>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</si>
  <si>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</si>
  <si>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</si>
  <si>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</si>
  <si>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</si>
  <si>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</si>
  <si>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</si>
  <si>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</si>
  <si>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</si>
  <si>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</si>
  <si>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</si>
  <si>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</si>
  <si>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</si>
  <si>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</si>
  <si>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</si>
  <si>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</si>
  <si>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</si>
  <si>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</si>
  <si>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</si>
  <si>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</si>
  <si>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</si>
  <si>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</si>
  <si>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</si>
  <si>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</si>
  <si>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</si>
  <si>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</si>
  <si>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</si>
  <si>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</si>
  <si>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</si>
  <si>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</si>
  <si>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</si>
  <si>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</si>
  <si>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</si>
  <si>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</si>
  <si>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</si>
  <si>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</si>
  <si>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</si>
  <si>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</si>
  <si>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</si>
  <si>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</si>
  <si>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</si>
  <si>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</si>
  <si>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</si>
  <si>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</si>
  <si>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</si>
  <si>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</si>
  <si>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</si>
  <si>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</si>
  <si>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</si>
  <si>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</si>
  <si>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</si>
  <si>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</si>
  <si>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</si>
  <si>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</si>
  <si>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</si>
  <si>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</si>
  <si>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</si>
  <si>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</si>
  <si>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</si>
  <si>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</si>
  <si>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</si>
  <si>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</si>
  <si>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</si>
  <si>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</si>
  <si>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</si>
  <si>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</si>
  <si>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</si>
  <si>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</si>
  <si>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</si>
  <si>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</si>
  <si>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</si>
  <si>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</si>
  <si>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</si>
  <si>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</si>
  <si>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</si>
  <si>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</si>
  <si>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</si>
  <si>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</si>
  <si>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</si>
  <si>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</si>
  <si>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</si>
  <si>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</si>
  <si>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</si>
  <si>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</si>
  <si>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</si>
  <si>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</si>
  <si>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</si>
  <si>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</si>
  <si>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</si>
  <si>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</si>
  <si>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</si>
  <si>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</si>
  <si>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</si>
  <si>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</si>
  <si>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</si>
  <si>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</si>
  <si>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</si>
  <si>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</si>
  <si>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</si>
  <si>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</si>
  <si>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</si>
  <si>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</si>
  <si>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</si>
  <si>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</si>
  <si>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</si>
  <si>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</si>
  <si>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</si>
  <si>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</si>
  <si>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</si>
  <si>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</si>
  <si>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</si>
  <si>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</si>
  <si>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</si>
  <si>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</si>
  <si>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</si>
  <si>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</si>
  <si>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</si>
  <si>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</si>
  <si>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</si>
  <si>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</si>
  <si>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</si>
  <si>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</si>
  <si>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</si>
  <si>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</si>
  <si>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</si>
  <si>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</si>
  <si>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</si>
  <si>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</si>
  <si>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</si>
  <si>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</si>
  <si>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</si>
  <si>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</si>
  <si>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</si>
  <si>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</si>
  <si>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</si>
  <si>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</si>
  <si>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</si>
  <si>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</si>
  <si>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</si>
  <si>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</si>
  <si>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</si>
  <si>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</si>
  <si>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</si>
  <si>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</si>
  <si>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</si>
  <si>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</si>
  <si>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</si>
  <si>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</si>
  <si>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</si>
  <si>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</si>
  <si>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</si>
  <si>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</si>
  <si>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</si>
  <si>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</si>
  <si>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</si>
  <si>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</si>
  <si>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</si>
  <si>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</si>
  <si>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</si>
  <si>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</si>
  <si>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</si>
  <si>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</si>
  <si>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</si>
  <si>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</si>
  <si>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</si>
  <si>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</si>
  <si>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</si>
  <si>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</si>
  <si>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</si>
  <si>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</si>
  <si>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</si>
  <si>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</si>
  <si>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</si>
  <si>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</si>
  <si>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</si>
  <si>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</si>
  <si>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</si>
  <si>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</si>
  <si>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</si>
  <si>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</si>
  <si>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</si>
  <si>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</si>
  <si>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</si>
  <si>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</si>
  <si>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</si>
  <si>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</si>
  <si>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</si>
  <si>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</si>
  <si>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</si>
  <si>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</si>
  <si>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</si>
  <si>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</si>
  <si>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</si>
  <si>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</si>
  <si>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</si>
  <si>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</si>
  <si>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</si>
  <si>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</si>
  <si>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</si>
  <si>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</si>
  <si>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</si>
  <si>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</si>
  <si>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</si>
  <si>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</si>
  <si>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</si>
  <si>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</si>
  <si>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</si>
  <si>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</si>
  <si>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</si>
  <si>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</si>
  <si>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</si>
  <si>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</si>
  <si>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</si>
  <si>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</si>
  <si>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</si>
  <si>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</si>
  <si>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</si>
  <si>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</si>
  <si>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</si>
  <si>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</si>
  <si>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</si>
  <si>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</si>
  <si>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</si>
  <si>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</si>
  <si>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</si>
  <si>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</si>
  <si>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</si>
  <si>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</si>
  <si>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</si>
  <si>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</si>
  <si>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</si>
  <si>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</si>
  <si>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</si>
  <si>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</si>
  <si>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</si>
  <si>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</si>
  <si>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</si>
  <si>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</si>
  <si>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</si>
  <si>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</si>
  <si>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</si>
  <si>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</si>
  <si>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</si>
  <si>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</si>
  <si>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</si>
  <si>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</si>
  <si>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</si>
  <si>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</si>
  <si>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</si>
  <si>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</si>
  <si>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</si>
  <si>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</si>
  <si>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</si>
  <si>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</si>
  <si>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</si>
  <si>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</si>
  <si>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</si>
  <si>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</si>
  <si>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</si>
  <si>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</si>
  <si>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</si>
  <si>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</si>
  <si>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</si>
  <si>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</si>
  <si>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</si>
  <si>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</si>
  <si>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</si>
  <si>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</si>
  <si>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</si>
  <si>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</si>
  <si>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</si>
  <si>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</si>
  <si>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</si>
  <si>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</si>
  <si>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</si>
  <si>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</si>
  <si>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</si>
  <si>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</si>
  <si>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</si>
  <si>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</si>
  <si>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</si>
  <si>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</si>
  <si>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</si>
  <si>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</si>
  <si>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</si>
  <si>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</si>
  <si>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</si>
  <si>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</si>
  <si>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</si>
  <si>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</si>
  <si>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</si>
  <si>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</si>
  <si>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</si>
  <si>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</si>
  <si>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</si>
  <si>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</si>
  <si>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</si>
  <si>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</si>
  <si>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</si>
  <si>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</si>
  <si>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</si>
  <si>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</si>
  <si>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</si>
  <si>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</si>
  <si>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</si>
  <si>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</si>
  <si>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</si>
  <si>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</si>
  <si>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</si>
  <si>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</si>
  <si>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</si>
  <si>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</si>
  <si>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</si>
  <si>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</si>
  <si>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</si>
  <si>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</si>
  <si>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</si>
  <si>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</si>
  <si>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</si>
  <si>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</si>
  <si>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</si>
  <si>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</si>
  <si>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</si>
  <si>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</si>
  <si>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</si>
  <si>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</si>
  <si>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</si>
  <si>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</si>
  <si>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</si>
  <si>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</si>
  <si>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</si>
  <si>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</si>
  <si>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</si>
  <si>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</si>
  <si>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</si>
  <si>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</si>
  <si>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</si>
  <si>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</si>
  <si>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</si>
  <si>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</si>
  <si>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</si>
  <si>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</si>
  <si>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</si>
  <si>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</si>
  <si>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</si>
  <si>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</si>
  <si>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</si>
  <si>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</si>
  <si>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</si>
  <si>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</si>
  <si>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</si>
  <si>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</si>
  <si>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</si>
  <si>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</si>
  <si>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</si>
  <si>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</si>
  <si>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</si>
  <si>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</si>
  <si>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</si>
  <si>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</si>
  <si>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</si>
  <si>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</si>
  <si>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</si>
  <si>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</si>
  <si>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</si>
  <si>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</si>
  <si>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</si>
  <si>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</si>
  <si>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</si>
  <si>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</si>
  <si>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</si>
  <si>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</si>
  <si>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</si>
  <si>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</si>
  <si>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</si>
  <si>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</si>
  <si>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</si>
  <si>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</si>
  <si>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</si>
  <si>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</si>
  <si>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</si>
  <si>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</si>
  <si>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</si>
  <si>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</si>
  <si>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</si>
  <si>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</si>
  <si>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</si>
  <si>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</si>
  <si>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</si>
  <si>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</si>
  <si>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</si>
  <si>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</si>
  <si>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</si>
  <si>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</si>
  <si>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</si>
  <si>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</si>
  <si>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</si>
  <si>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</si>
  <si>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</si>
  <si>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</si>
  <si>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</si>
  <si>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</si>
  <si>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</si>
  <si>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</si>
  <si>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</si>
  <si>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</si>
  <si>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</si>
  <si>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</si>
  <si>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</si>
  <si>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</si>
  <si>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</si>
  <si>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</si>
  <si>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</si>
  <si>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</si>
  <si>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</si>
  <si>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</si>
  <si>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</si>
  <si>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</si>
  <si>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</si>
  <si>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</si>
  <si>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</si>
  <si>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</si>
  <si>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</si>
  <si>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</si>
  <si>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</si>
  <si>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</si>
  <si>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</si>
  <si>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</si>
  <si>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</si>
  <si>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</si>
  <si>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</si>
  <si>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</si>
  <si>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</si>
  <si>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</si>
  <si>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</si>
  <si>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</si>
  <si>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</si>
  <si>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</si>
  <si>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</si>
  <si>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</si>
  <si>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</si>
  <si>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</si>
  <si>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</si>
  <si>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</si>
  <si>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</si>
  <si>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</si>
  <si>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</si>
  <si>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</si>
  <si>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</si>
  <si>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</si>
  <si>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</si>
  <si>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</si>
  <si>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</si>
  <si>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</si>
  <si>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</si>
  <si>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</si>
  <si>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</si>
  <si>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</si>
  <si>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</si>
  <si>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</si>
  <si>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</si>
  <si>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</si>
  <si>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</si>
  <si>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</si>
  <si>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</si>
  <si>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</si>
  <si>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</si>
  <si>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</si>
  <si>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</si>
  <si>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</si>
  <si>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</si>
  <si>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</si>
  <si>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</si>
  <si>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</si>
  <si>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</si>
  <si>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</si>
  <si>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</si>
  <si>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</si>
  <si>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</si>
  <si>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</si>
  <si>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</si>
  <si>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</si>
  <si>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</si>
  <si>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</si>
  <si>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</si>
  <si>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</si>
  <si>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</si>
  <si>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</si>
  <si>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</si>
  <si>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</si>
  <si>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</si>
  <si>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</si>
  <si>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</si>
  <si>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</si>
  <si>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</si>
  <si>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</si>
  <si>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</si>
  <si>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</si>
  <si>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</si>
  <si>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</si>
  <si>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</si>
  <si>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</si>
  <si>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</si>
  <si>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</si>
  <si>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</si>
  <si>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</si>
  <si>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</si>
  <si>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</si>
  <si>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</si>
  <si>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</si>
  <si>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</si>
  <si>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</si>
  <si>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</si>
  <si>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</si>
  <si>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</si>
  <si>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</si>
  <si>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</si>
  <si>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</si>
  <si>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</si>
  <si>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</si>
  <si>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</si>
  <si>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</si>
  <si>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</si>
  <si>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</si>
  <si>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</si>
  <si>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</si>
  <si>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</si>
  <si>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</si>
  <si>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</si>
  <si>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</si>
  <si>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</si>
  <si>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</si>
  <si>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</si>
  <si>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</si>
  <si>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</si>
  <si>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</si>
  <si>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</si>
  <si>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</si>
  <si>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</si>
  <si>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</si>
  <si>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</si>
  <si>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</si>
  <si>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</si>
  <si>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</si>
  <si>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</si>
  <si>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</si>
  <si>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</si>
  <si>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</si>
  <si>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</si>
  <si>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</si>
  <si>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</si>
  <si>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</si>
  <si>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</si>
  <si>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</si>
  <si>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</si>
  <si>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</si>
  <si>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</si>
  <si>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</si>
  <si>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</si>
  <si>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</si>
  <si>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</si>
  <si>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</si>
  <si>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</si>
  <si>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</si>
  <si>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</si>
  <si>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</si>
  <si>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</si>
  <si>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</si>
  <si>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</si>
  <si>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</si>
  <si>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</si>
  <si>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</si>
  <si>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</si>
  <si>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</si>
  <si>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</si>
  <si>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</si>
  <si>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</si>
  <si>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</si>
  <si>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</si>
  <si>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</si>
  <si>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</si>
  <si>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</si>
  <si>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</si>
  <si>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</si>
  <si>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</si>
  <si>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</si>
  <si>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</si>
  <si>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</si>
  <si>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</si>
  <si>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</si>
  <si>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</si>
  <si>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</si>
  <si>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</si>
  <si>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</si>
  <si>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</si>
  <si>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</si>
  <si>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</si>
  <si>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</si>
  <si>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</si>
  <si>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</si>
  <si>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</si>
  <si>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</si>
  <si>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</si>
  <si>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</si>
  <si>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</si>
  <si>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</si>
  <si>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</si>
  <si>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</si>
  <si>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</si>
  <si>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</si>
  <si>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</si>
  <si>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</si>
  <si>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</si>
  <si>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</si>
  <si>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</si>
  <si>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</si>
  <si>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</si>
  <si>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</si>
  <si>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</si>
  <si>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</si>
  <si>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</si>
  <si>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</si>
  <si>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</si>
  <si>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</si>
  <si>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</si>
  <si>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</si>
  <si>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</si>
  <si>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</si>
  <si>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</si>
  <si>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</si>
  <si>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</si>
  <si>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</si>
  <si>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</si>
  <si>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</si>
  <si>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</si>
  <si>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</si>
  <si>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</si>
  <si>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</si>
  <si>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</si>
  <si>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</si>
  <si>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</si>
  <si>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</si>
  <si>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</si>
  <si>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</si>
  <si>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</si>
  <si>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</si>
  <si>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</si>
  <si>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</si>
  <si>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</si>
  <si>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</si>
  <si>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</si>
  <si>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</si>
  <si>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</si>
  <si>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</si>
  <si>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</si>
  <si>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</si>
  <si>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</si>
  <si>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</si>
  <si>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</si>
  <si>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</si>
  <si>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</si>
  <si>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</si>
  <si>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</si>
  <si>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</si>
  <si>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</si>
  <si>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</si>
  <si>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</si>
  <si>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</si>
  <si>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</si>
  <si>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</si>
  <si>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</si>
  <si>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</si>
  <si>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</si>
  <si>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</si>
  <si>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</si>
  <si>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</si>
  <si>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</si>
  <si>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</si>
  <si>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</si>
  <si>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</si>
  <si>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</si>
  <si>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</si>
  <si>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</si>
  <si>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</si>
  <si>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</si>
  <si>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</si>
  <si>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</si>
  <si>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</si>
  <si>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</si>
  <si>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</si>
  <si>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</si>
  <si>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</si>
  <si>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</si>
  <si>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</si>
  <si>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</si>
  <si>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</si>
  <si>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</si>
  <si>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</si>
  <si>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</si>
  <si>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</si>
  <si>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</si>
  <si>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</si>
  <si>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</si>
  <si>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</si>
  <si>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</si>
  <si>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</si>
  <si>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</si>
  <si>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</si>
  <si>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</si>
  <si>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</si>
  <si>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</si>
  <si>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</si>
  <si>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</si>
  <si>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</si>
  <si>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</si>
  <si>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</si>
  <si>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</si>
  <si>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</si>
  <si>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</si>
  <si>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</si>
  <si>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</si>
  <si>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</si>
  <si>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</si>
  <si>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</si>
  <si>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</si>
  <si>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</si>
  <si>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</si>
  <si>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</si>
  <si>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</si>
  <si>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</si>
  <si>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</si>
  <si>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</si>
  <si>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</si>
  <si>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</si>
  <si>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</si>
  <si>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</si>
  <si>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</si>
  <si>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</si>
  <si>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</si>
  <si>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</si>
  <si>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</si>
  <si>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</si>
  <si>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</si>
  <si>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</si>
  <si>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</si>
  <si>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</si>
  <si>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</si>
  <si>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</si>
  <si>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</si>
  <si>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</si>
  <si>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</si>
  <si>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</si>
  <si>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</si>
  <si>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</si>
  <si>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</si>
  <si>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</si>
  <si>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</si>
  <si>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</si>
  <si>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</si>
  <si>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</si>
  <si>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</si>
  <si>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</si>
  <si>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</si>
  <si>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</si>
  <si>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</si>
  <si>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</si>
  <si>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</si>
  <si>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</si>
  <si>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</si>
  <si>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</si>
  <si>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</si>
  <si>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</si>
  <si>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</si>
  <si>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</si>
  <si>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</si>
  <si>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</si>
  <si>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</si>
  <si>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</si>
  <si>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</si>
  <si>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</si>
  <si>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</si>
  <si>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</si>
  <si>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</si>
  <si>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</si>
  <si>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</si>
  <si>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</si>
  <si>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</si>
  <si>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</si>
  <si>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</si>
  <si>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</si>
  <si>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</si>
  <si>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</si>
  <si>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</si>
  <si>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</si>
  <si>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</si>
  <si>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</si>
  <si>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</si>
  <si>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</si>
  <si>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</si>
  <si>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</si>
  <si>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</si>
  <si>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</si>
  <si>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</si>
  <si>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</si>
  <si>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</si>
  <si>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</si>
  <si>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</si>
  <si>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</si>
  <si>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</si>
  <si>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</si>
  <si>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</si>
  <si>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</si>
  <si>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</si>
  <si>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</si>
  <si>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</si>
  <si>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</si>
  <si>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</si>
  <si>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</si>
  <si>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</si>
  <si>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</si>
  <si>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</si>
  <si>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</si>
  <si>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</si>
  <si>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</si>
  <si>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</si>
  <si>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</si>
  <si>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</si>
  <si>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</si>
  <si>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</si>
  <si>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</si>
  <si>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</si>
  <si>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</si>
  <si>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</si>
  <si>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</si>
  <si>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</si>
  <si>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</si>
  <si>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</si>
  <si>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</si>
  <si>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</si>
  <si>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</si>
  <si>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</si>
  <si>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</si>
  <si>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</si>
  <si>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</si>
  <si>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</si>
  <si>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</si>
  <si>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</si>
  <si>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</si>
  <si>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</si>
  <si>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</si>
  <si>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</si>
  <si>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</si>
  <si>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</si>
  <si>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</si>
  <si>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</si>
  <si>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</si>
  <si>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</si>
  <si>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</si>
  <si>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</si>
  <si>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</si>
  <si>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</si>
  <si>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</si>
  <si>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</si>
  <si>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</si>
  <si>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</si>
  <si>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</si>
  <si>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</si>
  <si>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</si>
  <si>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</si>
  <si>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</si>
  <si>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</si>
  <si>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</si>
  <si>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</si>
  <si>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</si>
  <si>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</si>
  <si>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</si>
  <si>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</si>
  <si>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</si>
  <si>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</si>
  <si>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</si>
  <si>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</si>
  <si>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</si>
  <si>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</si>
  <si>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</si>
  <si>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</si>
  <si>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</si>
  <si>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</si>
  <si>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</si>
  <si>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</si>
  <si>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</si>
  <si>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</si>
  <si>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</si>
  <si>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</si>
  <si>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</si>
  <si>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</si>
  <si>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</si>
  <si>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</si>
  <si>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</si>
  <si>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</si>
  <si>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</si>
  <si>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</si>
  <si>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</si>
  <si>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</si>
  <si>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</si>
  <si>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</si>
  <si>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</si>
  <si>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</si>
  <si>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</si>
  <si>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</si>
  <si>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</si>
  <si>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</si>
  <si>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</si>
  <si>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</si>
  <si>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</si>
  <si>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</si>
  <si>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</si>
  <si>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</si>
  <si>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</si>
  <si>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</si>
  <si>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</si>
  <si>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</si>
  <si>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</si>
  <si>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</si>
  <si>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</si>
  <si>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</si>
  <si>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</si>
  <si>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</si>
  <si>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</si>
  <si>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</si>
  <si>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</si>
  <si>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</si>
  <si>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</si>
  <si>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</si>
  <si>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</si>
  <si>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</si>
  <si>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</si>
  <si>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</si>
  <si>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</si>
  <si>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</si>
  <si>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</si>
  <si>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</si>
  <si>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</si>
  <si>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</si>
  <si>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</si>
  <si>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</si>
  <si>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</si>
  <si>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</si>
  <si>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</si>
  <si>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</si>
  <si>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</si>
  <si>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</si>
  <si>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</si>
  <si>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</si>
  <si>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</si>
  <si>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</si>
  <si>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</si>
  <si>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</si>
  <si>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</si>
  <si>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</si>
  <si>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</si>
  <si>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</si>
  <si>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</si>
  <si>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</si>
  <si>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</si>
  <si>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</si>
  <si>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</si>
  <si>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</si>
  <si>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</si>
  <si>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</si>
  <si>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</si>
  <si>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</si>
  <si>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</si>
  <si>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</si>
  <si>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</si>
  <si>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</si>
  <si>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</si>
  <si>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</si>
  <si>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</si>
  <si>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</si>
  <si>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</si>
  <si>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</si>
  <si>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</si>
  <si>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</si>
  <si>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</si>
  <si>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</si>
  <si>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</si>
  <si>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</si>
  <si>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</si>
  <si>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</si>
  <si>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</si>
  <si>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</si>
  <si>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</si>
  <si>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</si>
  <si>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</si>
  <si>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</si>
  <si>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</si>
  <si>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</si>
  <si>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</si>
  <si>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</si>
  <si>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</si>
  <si>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</si>
  <si>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</si>
  <si>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</si>
  <si>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</si>
  <si>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</si>
  <si>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</si>
  <si>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</si>
  <si>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</si>
  <si>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</si>
  <si>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</si>
  <si>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</si>
  <si>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</si>
  <si>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</si>
  <si>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</si>
  <si>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</si>
  <si>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</si>
  <si>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</si>
  <si>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</si>
  <si>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</si>
  <si>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</si>
  <si>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</si>
  <si>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</si>
  <si>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</si>
  <si>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</si>
  <si>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</si>
  <si>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</si>
  <si>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</si>
  <si>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</si>
  <si>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</si>
  <si>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</si>
  <si>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</si>
  <si>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</si>
  <si>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</si>
  <si>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</si>
  <si>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</si>
  <si>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</si>
  <si>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</si>
  <si>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</si>
  <si>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</si>
  <si>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</si>
  <si>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</si>
  <si>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</si>
  <si>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</si>
  <si>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</si>
  <si>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</si>
  <si>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</si>
  <si>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</si>
  <si>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</si>
  <si>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</si>
  <si>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</si>
  <si>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</si>
  <si>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</si>
  <si>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</si>
  <si>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</si>
  <si>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</si>
  <si>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</si>
  <si>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</si>
  <si>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</si>
  <si>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</si>
  <si>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</si>
  <si>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</si>
  <si>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</si>
  <si>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</si>
  <si>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</si>
  <si>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</si>
  <si>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</si>
  <si>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</si>
  <si>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</si>
  <si>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</si>
  <si>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</si>
  <si>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</si>
  <si>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</si>
  <si>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</si>
  <si>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</si>
  <si>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</si>
  <si>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</si>
  <si>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</si>
  <si>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</si>
  <si>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</si>
  <si>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</si>
  <si>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</si>
  <si>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</si>
  <si>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</si>
  <si>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</si>
  <si>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</si>
  <si>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</si>
  <si>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</si>
  <si>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</si>
  <si>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</si>
  <si>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</si>
  <si>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</si>
  <si>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</si>
  <si>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</si>
  <si>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</si>
  <si>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</si>
  <si>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</si>
  <si>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</si>
  <si>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</si>
  <si>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</si>
  <si>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</si>
  <si>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</si>
  <si>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</si>
  <si>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</si>
  <si>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</si>
  <si>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</si>
  <si>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</si>
  <si>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</si>
  <si>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</si>
  <si>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</si>
  <si>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</si>
  <si>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</si>
  <si>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</si>
  <si>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</si>
  <si>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</si>
  <si>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</si>
  <si>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</si>
  <si>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</si>
  <si>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</si>
  <si>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</si>
  <si>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</si>
  <si>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</si>
  <si>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</si>
  <si>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</si>
  <si>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</si>
  <si>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</si>
  <si>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</si>
  <si>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</si>
  <si>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</si>
  <si>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</si>
  <si>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</si>
  <si>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</si>
  <si>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</si>
  <si>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</si>
  <si>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</si>
  <si>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</si>
  <si>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</si>
  <si>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</si>
  <si>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</si>
  <si>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</si>
  <si>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</si>
  <si>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</si>
  <si>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</si>
  <si>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</si>
  <si>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</si>
  <si>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</si>
  <si>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</si>
  <si>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</si>
  <si>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</si>
  <si>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</si>
  <si>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</si>
  <si>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</si>
  <si>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</si>
  <si>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</si>
  <si>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</si>
  <si>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</si>
  <si>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</si>
  <si>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</si>
  <si>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</si>
  <si>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</si>
  <si>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</si>
  <si>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</si>
  <si>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</si>
  <si>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</si>
  <si>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</si>
  <si>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</si>
  <si>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</si>
  <si>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</si>
  <si>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</si>
  <si>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</si>
  <si>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</si>
  <si>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</si>
  <si>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</si>
  <si>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</si>
  <si>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</si>
  <si>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</si>
  <si>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</si>
  <si>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</si>
  <si>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</si>
  <si>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</si>
  <si>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</si>
  <si>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</si>
  <si>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</si>
  <si>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</si>
  <si>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</si>
  <si>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</si>
  <si>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</si>
  <si>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</si>
  <si>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</si>
  <si>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</si>
  <si>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</si>
  <si>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</si>
  <si>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</si>
  <si>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</si>
  <si>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</si>
  <si>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</si>
  <si>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</si>
  <si>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</si>
  <si>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</si>
  <si>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</si>
  <si>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</si>
  <si>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</si>
  <si>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</si>
  <si>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</si>
  <si>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</si>
  <si>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</si>
  <si>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</si>
  <si>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</si>
  <si>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</si>
  <si>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</si>
  <si>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</si>
  <si>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</si>
  <si>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</si>
  <si>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</si>
  <si>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</si>
  <si>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</si>
  <si>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</si>
  <si>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</si>
  <si>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</si>
  <si>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</si>
  <si>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</si>
  <si>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</si>
  <si>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</si>
  <si>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</si>
  <si>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</si>
  <si>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</si>
  <si>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</si>
  <si>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</si>
  <si>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</si>
  <si>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</si>
  <si>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</si>
  <si>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</si>
  <si>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</si>
  <si>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</si>
  <si>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</si>
  <si>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</si>
  <si>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</si>
  <si>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</si>
  <si>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</si>
  <si>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</si>
  <si>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</si>
  <si>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</si>
  <si>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</si>
  <si>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</si>
  <si>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</si>
  <si>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</si>
  <si>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</si>
  <si>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</si>
  <si>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</si>
  <si>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</si>
  <si>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</si>
  <si>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</si>
  <si>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</si>
  <si>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</si>
  <si>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</si>
  <si>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</si>
  <si>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</si>
  <si>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</si>
  <si>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</si>
  <si>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</si>
  <si>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</si>
  <si>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</si>
  <si>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</si>
  <si>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</si>
  <si>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</si>
  <si>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</si>
  <si>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</si>
  <si>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</si>
  <si>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</si>
  <si>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</si>
  <si>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</si>
  <si>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</si>
  <si>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</si>
  <si>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</si>
  <si>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</si>
  <si>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</si>
  <si>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</si>
  <si>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</si>
  <si>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</si>
  <si>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</si>
  <si>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</si>
  <si>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</si>
  <si>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</si>
  <si>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</si>
  <si>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</si>
  <si>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</si>
  <si>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</si>
  <si>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</si>
  <si>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</si>
  <si>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</si>
  <si>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</si>
  <si>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</si>
  <si>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</si>
  <si>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</si>
  <si>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</si>
  <si>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</si>
  <si>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</si>
  <si>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</si>
  <si>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</si>
  <si>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</si>
  <si>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</si>
  <si>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</si>
  <si>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</si>
  <si>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</si>
  <si>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</si>
  <si>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</si>
  <si>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</si>
  <si>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</si>
  <si>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</si>
  <si>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</si>
  <si>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</si>
  <si>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</si>
  <si>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</si>
  <si>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</si>
  <si>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</si>
  <si>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</si>
  <si>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</si>
  <si>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</si>
  <si>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</si>
  <si>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</si>
  <si>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</si>
  <si>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</si>
  <si>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</si>
  <si>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</si>
  <si>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</si>
  <si>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</si>
  <si>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</si>
  <si>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</si>
  <si>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</si>
  <si>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</si>
  <si>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</si>
  <si>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</si>
  <si>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</si>
  <si>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</si>
  <si>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</si>
  <si>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</si>
  <si>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</si>
  <si>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</si>
  <si>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</si>
  <si>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</si>
  <si>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</si>
  <si>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</si>
  <si>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</si>
  <si>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</si>
  <si>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</si>
  <si>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</si>
  <si>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</si>
  <si>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</si>
  <si>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</si>
  <si>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</si>
  <si>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</si>
  <si>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</si>
  <si>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</si>
  <si>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</si>
  <si>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</si>
  <si>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</si>
  <si>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</si>
  <si>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</si>
  <si>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</si>
  <si>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</si>
  <si>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</si>
  <si>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</si>
  <si>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</si>
  <si>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</si>
  <si>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</si>
  <si>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</si>
  <si>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</si>
  <si>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</si>
  <si>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</si>
  <si>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</si>
  <si>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</si>
  <si>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</si>
  <si>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</si>
  <si>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</si>
  <si>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</si>
  <si>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</si>
  <si>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</si>
  <si>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</si>
  <si>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</si>
  <si>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</si>
  <si>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</si>
  <si>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</si>
  <si>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</si>
  <si>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</si>
  <si>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</si>
  <si>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</si>
  <si>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</si>
  <si>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</si>
  <si>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</si>
  <si>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</si>
  <si>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</si>
  <si>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</si>
  <si>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</si>
  <si>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</si>
  <si>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</si>
  <si>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</si>
  <si>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</si>
  <si>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</si>
  <si>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</si>
  <si>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</si>
  <si>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</si>
  <si>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</si>
  <si>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</si>
  <si>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</si>
  <si>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</si>
  <si>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</si>
  <si>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</si>
  <si>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</si>
  <si>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</si>
  <si>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</si>
  <si>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</si>
  <si>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</si>
  <si>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</si>
  <si>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</si>
  <si>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</si>
  <si>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</si>
  <si>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</si>
  <si>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</si>
  <si>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</si>
  <si>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</si>
  <si>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</si>
  <si>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</si>
  <si>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</si>
  <si>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</si>
  <si>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</si>
  <si>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</si>
  <si>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</si>
  <si>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</si>
  <si>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</si>
  <si>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</si>
  <si>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</si>
  <si>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</si>
  <si>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</si>
  <si>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</si>
  <si>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</si>
  <si>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</si>
  <si>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</si>
  <si>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</si>
  <si>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</si>
  <si>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</si>
  <si>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</si>
  <si>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</si>
  <si>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</si>
  <si>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</si>
  <si>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</si>
  <si>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</si>
  <si>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</si>
  <si>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</si>
  <si>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</si>
  <si>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</si>
  <si>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</si>
  <si>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</si>
  <si>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</si>
  <si>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</si>
  <si>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</si>
  <si>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</si>
  <si>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</si>
  <si>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</si>
  <si>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</si>
  <si>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</si>
  <si>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</si>
  <si>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</si>
  <si>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</si>
  <si>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</si>
  <si>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</si>
  <si>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</si>
  <si>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</si>
  <si>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</si>
  <si>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</si>
  <si>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</si>
  <si>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</si>
  <si>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</si>
  <si>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</si>
  <si>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</si>
  <si>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</si>
  <si>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</si>
  <si>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</si>
  <si>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</si>
  <si>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</si>
  <si>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</si>
  <si>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</si>
  <si>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</si>
  <si>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</si>
  <si>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</si>
  <si>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</si>
  <si>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</si>
  <si>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</si>
  <si>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</si>
  <si>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</si>
  <si>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</si>
  <si>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</si>
  <si>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</si>
  <si>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</si>
  <si>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</si>
  <si>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</si>
  <si>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</si>
  <si>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</si>
  <si>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</si>
  <si>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</si>
  <si>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</si>
  <si>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</si>
  <si>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</si>
  <si>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</si>
  <si>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</si>
  <si>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</si>
  <si>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</si>
  <si>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</si>
  <si>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</si>
  <si>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</si>
  <si>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</si>
  <si>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</si>
  <si>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</si>
  <si>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</si>
  <si>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</si>
  <si>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</si>
  <si>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</si>
  <si>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</si>
  <si>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</si>
  <si>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</si>
  <si>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</si>
  <si>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</si>
  <si>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</si>
  <si>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</si>
  <si>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</si>
  <si>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</si>
  <si>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</si>
  <si>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</si>
  <si>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</si>
  <si>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</si>
  <si>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</si>
  <si>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</si>
  <si>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</si>
  <si>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</si>
  <si>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</si>
  <si>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</si>
  <si>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</si>
  <si>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</si>
  <si>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</si>
  <si>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</si>
  <si>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</si>
  <si>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</si>
  <si>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</si>
  <si>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</si>
  <si>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</si>
  <si>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</si>
  <si>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</si>
  <si>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</si>
  <si>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</si>
  <si>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</si>
  <si>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</si>
  <si>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</si>
  <si>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</si>
  <si>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</si>
  <si>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</si>
  <si>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</si>
  <si>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</si>
  <si>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</si>
  <si>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</si>
  <si>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</si>
  <si>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</si>
  <si>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</si>
  <si>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</si>
  <si>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</si>
  <si>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</si>
  <si>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</si>
  <si>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</si>
  <si>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</si>
  <si>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</si>
  <si>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</si>
  <si>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</si>
  <si>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</si>
  <si>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</si>
  <si>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</si>
  <si>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</si>
  <si>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</si>
  <si>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</si>
  <si>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</si>
  <si>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</si>
  <si>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</si>
  <si>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</si>
  <si>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</si>
  <si>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</si>
  <si>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</si>
  <si>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</si>
  <si>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</si>
  <si>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</si>
  <si>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</si>
  <si>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</si>
  <si>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</si>
  <si>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</si>
  <si>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</si>
  <si>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</si>
  <si>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</si>
  <si>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</si>
  <si>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</si>
  <si>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</si>
  <si>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</si>
  <si>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</si>
  <si>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</si>
  <si>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</si>
  <si>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</si>
  <si>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</si>
  <si>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</si>
  <si>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</si>
  <si>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</si>
  <si>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</si>
  <si>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</si>
  <si>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</si>
  <si>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</si>
  <si>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</si>
  <si>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</si>
  <si>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</si>
  <si>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</si>
  <si>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</si>
  <si>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</si>
  <si>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</si>
  <si>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</si>
  <si>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</si>
  <si>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</si>
  <si>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</si>
  <si>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</si>
  <si>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</si>
  <si>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</si>
  <si>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</si>
  <si>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</si>
  <si>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</si>
  <si>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</si>
  <si>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</si>
  <si>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</si>
  <si>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</si>
  <si>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</si>
  <si>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</si>
  <si>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</si>
  <si>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</si>
  <si>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</si>
  <si>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</si>
  <si>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</si>
  <si>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</si>
  <si>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</si>
  <si>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</si>
  <si>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</si>
  <si>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</si>
  <si>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</si>
  <si>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</si>
  <si>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</si>
  <si>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</si>
  <si>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</si>
  <si>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</si>
  <si>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</si>
  <si>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</si>
  <si>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</si>
  <si>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</si>
  <si>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</si>
  <si>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</si>
  <si>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</si>
  <si>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</si>
  <si>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</si>
  <si>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</si>
  <si>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</si>
  <si>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</si>
  <si>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</si>
  <si>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</si>
  <si>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</si>
  <si>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</si>
  <si>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</si>
  <si>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</si>
  <si>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</si>
  <si>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</si>
  <si>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</si>
  <si>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</si>
  <si>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</si>
  <si>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</si>
  <si>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</si>
  <si>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</si>
  <si>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</si>
  <si>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</si>
  <si>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</si>
  <si>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</si>
  <si>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</si>
  <si>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</si>
  <si>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</si>
  <si>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</si>
  <si>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</si>
  <si>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</si>
  <si>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</si>
  <si>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</si>
  <si>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</si>
  <si>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</si>
  <si>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</si>
  <si>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</si>
  <si>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</si>
  <si>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</si>
  <si>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</si>
  <si>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</si>
  <si>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</si>
  <si>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</si>
  <si>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</si>
  <si>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</si>
  <si>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</si>
  <si>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</si>
  <si>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</si>
  <si>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</si>
  <si>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</si>
  <si>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</si>
  <si>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</si>
  <si>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</si>
  <si>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</si>
  <si>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</si>
  <si>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</si>
  <si>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</si>
  <si>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</si>
  <si>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</si>
  <si>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</si>
  <si>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</si>
  <si>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</si>
  <si>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</si>
  <si>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</si>
  <si>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</si>
  <si>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</si>
  <si>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</si>
  <si>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</si>
  <si>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</si>
  <si>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</si>
  <si>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</si>
  <si>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</si>
  <si>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</si>
  <si>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</si>
  <si>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</si>
  <si>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</si>
  <si>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</si>
  <si>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</si>
  <si>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</si>
  <si>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</si>
  <si>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</si>
  <si>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</si>
  <si>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</si>
  <si>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</si>
  <si>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</si>
  <si>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</si>
  <si>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</si>
  <si>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</si>
  <si>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</si>
  <si>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</si>
  <si>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</si>
  <si>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</si>
  <si>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</si>
  <si>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</si>
  <si>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</si>
  <si>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</si>
  <si>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</si>
  <si>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</si>
  <si>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</si>
  <si>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</si>
  <si>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</si>
  <si>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</si>
  <si>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</si>
  <si>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</si>
  <si>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</si>
  <si>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</si>
  <si>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</si>
  <si>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</si>
  <si>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</si>
  <si>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</si>
  <si>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</si>
  <si>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</si>
  <si>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</si>
  <si>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</si>
  <si>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</si>
  <si>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</si>
  <si>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</si>
  <si>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</si>
  <si>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</si>
  <si>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</si>
  <si>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</si>
  <si>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</si>
  <si>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</si>
  <si>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</si>
  <si>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</si>
  <si>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</si>
  <si>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</si>
  <si>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</si>
  <si>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</si>
  <si>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</si>
  <si>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</si>
  <si>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</si>
  <si>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</si>
  <si>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</si>
  <si>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</si>
  <si>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</si>
  <si>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</si>
  <si>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</si>
  <si>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</si>
  <si>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</si>
  <si>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</si>
  <si>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</si>
  <si>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</si>
  <si>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</si>
  <si>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</si>
  <si>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</si>
  <si>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</si>
  <si>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</si>
  <si>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</si>
  <si>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</si>
  <si>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</si>
  <si>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</si>
  <si>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</si>
  <si>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</si>
  <si>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</si>
  <si>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</si>
  <si>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</si>
  <si>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</si>
  <si>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</si>
  <si>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</si>
  <si>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</si>
  <si>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</si>
  <si>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</si>
  <si>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</si>
  <si>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</si>
  <si>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</si>
  <si>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</si>
  <si>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</si>
  <si>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</si>
  <si>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</si>
  <si>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</si>
  <si>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</si>
  <si>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</si>
  <si>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</si>
  <si>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</si>
  <si>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</si>
  <si>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</si>
  <si>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</si>
  <si>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</si>
  <si>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</si>
  <si>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</si>
  <si>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</si>
  <si>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</si>
  <si>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</si>
  <si>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</si>
  <si>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</si>
  <si>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</si>
  <si>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</si>
  <si>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</si>
  <si>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</si>
  <si>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</si>
  <si>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</si>
  <si>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</si>
  <si>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</si>
  <si>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</si>
  <si>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</si>
  <si>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</si>
  <si>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</si>
  <si>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</si>
  <si>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</si>
  <si>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</si>
  <si>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</si>
  <si>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</si>
  <si>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</si>
  <si>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</si>
  <si>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</si>
  <si>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</si>
  <si>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</si>
  <si>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</si>
  <si>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</si>
  <si>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</si>
  <si>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</si>
  <si>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</si>
  <si>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</si>
  <si>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</si>
  <si>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</si>
  <si>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</si>
  <si>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</si>
  <si>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</si>
  <si>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</si>
  <si>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</si>
  <si>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</si>
  <si>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</si>
  <si>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</si>
  <si>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</si>
  <si>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</si>
  <si>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</si>
  <si>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</si>
  <si>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</si>
  <si>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</si>
  <si>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</si>
  <si>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</si>
  <si>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</si>
  <si>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</si>
  <si>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</si>
  <si>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</si>
  <si>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</si>
  <si>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</si>
  <si>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</si>
  <si>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</si>
  <si>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</si>
  <si>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</si>
  <si>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</si>
  <si>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</si>
  <si>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</si>
  <si>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</si>
  <si>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</si>
  <si>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</si>
  <si>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</si>
  <si>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</si>
  <si>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</si>
  <si>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</si>
  <si>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</si>
  <si>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</si>
  <si>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</si>
  <si>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</si>
  <si>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</si>
  <si>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</si>
  <si>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</si>
  <si>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</si>
  <si>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</si>
  <si>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</si>
  <si>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</si>
  <si>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</si>
  <si>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</si>
  <si>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</si>
  <si>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</si>
  <si>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</si>
  <si>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</si>
  <si>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</si>
  <si>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</si>
  <si>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</si>
  <si>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</si>
  <si>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</si>
  <si>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</si>
  <si>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</si>
  <si>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</si>
  <si>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</si>
  <si>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</si>
  <si>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</si>
  <si>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</si>
  <si>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</si>
  <si>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</si>
  <si>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</si>
  <si>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</si>
  <si>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</si>
  <si>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</si>
  <si>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</si>
  <si>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</si>
  <si>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</si>
  <si>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</si>
  <si>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</si>
  <si>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</si>
  <si>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</si>
  <si>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</si>
  <si>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</si>
  <si>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</si>
  <si>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</si>
  <si>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</si>
  <si>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</si>
  <si>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</si>
  <si>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</si>
  <si>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</si>
  <si>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</si>
  <si>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</si>
  <si>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</si>
  <si>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</si>
  <si>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</si>
  <si>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</si>
  <si>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</si>
  <si>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</si>
  <si>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</si>
  <si>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</si>
  <si>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</si>
  <si>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</si>
  <si>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</si>
  <si>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</si>
  <si>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</si>
  <si>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</si>
  <si>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</si>
  <si>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</si>
  <si>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</si>
  <si>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</si>
  <si>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</si>
  <si>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</si>
  <si>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</si>
  <si>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</si>
  <si>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</si>
  <si>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</si>
  <si>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</si>
  <si>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</si>
  <si>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</si>
  <si>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</si>
  <si>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</si>
  <si>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</si>
  <si>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</si>
  <si>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</si>
  <si>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</si>
  <si>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</si>
  <si>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</si>
  <si>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</si>
  <si>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</si>
  <si>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</si>
  <si>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</si>
  <si>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</si>
  <si>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</si>
  <si>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</si>
  <si>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</si>
  <si>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</si>
  <si>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</si>
  <si>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</si>
  <si>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</si>
  <si>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</si>
  <si>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</si>
  <si>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</si>
  <si>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</si>
  <si>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</si>
  <si>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</si>
  <si>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</si>
  <si>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</si>
  <si>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</si>
  <si>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</si>
  <si>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</si>
  <si>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</si>
  <si>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</si>
  <si>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</si>
  <si>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</si>
  <si>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</si>
  <si>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</si>
  <si>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</si>
  <si>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</si>
  <si>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</si>
  <si>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</si>
  <si>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</si>
  <si>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</si>
  <si>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</si>
  <si>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</si>
  <si>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</si>
  <si>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</si>
  <si>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</si>
  <si>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</si>
  <si>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</si>
  <si>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</si>
  <si>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</si>
  <si>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</si>
  <si>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</si>
  <si>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</si>
  <si>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</si>
  <si>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</si>
  <si>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</si>
  <si>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</si>
  <si>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</si>
  <si>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</si>
  <si>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</si>
  <si>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</si>
  <si>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</si>
  <si>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</si>
  <si>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</si>
  <si>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</si>
  <si>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</si>
  <si>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</si>
  <si>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</si>
  <si>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</si>
  <si>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</si>
  <si>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</si>
  <si>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</si>
  <si>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</si>
  <si>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</si>
  <si>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</si>
  <si>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</si>
  <si>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</si>
  <si>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</si>
  <si>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</si>
  <si>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</si>
  <si>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</si>
  <si>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</si>
  <si>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</si>
  <si>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</si>
  <si>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</si>
  <si>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</si>
  <si>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</si>
  <si>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</si>
  <si>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</si>
  <si>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</si>
  <si>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</si>
  <si>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</si>
  <si>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</si>
  <si>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</si>
  <si>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</si>
  <si>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</si>
  <si>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</si>
  <si>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</si>
  <si>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</si>
  <si>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</si>
  <si>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</si>
  <si>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</si>
  <si>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</si>
  <si>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</si>
  <si>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</si>
  <si>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</si>
  <si>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</si>
  <si>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</si>
  <si>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</si>
  <si>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</si>
  <si>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</si>
  <si>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</si>
  <si>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</si>
  <si>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</si>
  <si>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</si>
  <si>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</si>
  <si>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</si>
  <si>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</si>
  <si>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</si>
  <si>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</si>
  <si>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</si>
  <si>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</si>
  <si>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</si>
  <si>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</si>
  <si>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</si>
  <si>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</si>
  <si>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</si>
  <si>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</si>
  <si>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</si>
  <si>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</si>
  <si>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</si>
  <si>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</si>
  <si>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</si>
  <si>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</si>
  <si>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</si>
  <si>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</si>
  <si>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</si>
  <si>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</si>
  <si>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</si>
  <si>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</si>
  <si>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</si>
  <si>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</si>
  <si>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</si>
  <si>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</si>
  <si>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</si>
  <si>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</si>
  <si>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</si>
  <si>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</si>
  <si>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</si>
  <si>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</si>
  <si>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</si>
  <si>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</si>
  <si>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</si>
  <si>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</si>
  <si>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</si>
  <si>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</si>
  <si>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</si>
  <si>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</si>
  <si>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</si>
  <si>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</si>
  <si>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</si>
  <si>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</si>
  <si>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</si>
  <si>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</si>
  <si>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</si>
  <si>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</si>
  <si>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</si>
  <si>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</si>
  <si>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</si>
  <si>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</si>
  <si>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</si>
  <si>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</si>
  <si>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</si>
  <si>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</si>
  <si>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</si>
  <si>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</si>
  <si>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</si>
  <si>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</si>
  <si>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</si>
  <si>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</si>
  <si>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</si>
  <si>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</si>
  <si>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</si>
  <si>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</si>
  <si>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</si>
  <si>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</si>
  <si>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</si>
  <si>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</si>
  <si>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</si>
  <si>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</si>
  <si>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</si>
  <si>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</si>
  <si>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</si>
  <si>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</si>
  <si>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</si>
  <si>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</si>
  <si>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</si>
  <si>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</si>
  <si>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</si>
  <si>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</si>
  <si>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</si>
  <si>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</si>
  <si>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</si>
  <si>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</si>
  <si>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</si>
  <si>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</si>
  <si>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</si>
  <si>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</si>
  <si>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</si>
  <si>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</si>
  <si>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</si>
  <si>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</si>
  <si>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</si>
  <si>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</si>
  <si>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</si>
  <si>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</si>
  <si>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</si>
  <si>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</si>
  <si>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</si>
  <si>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</si>
  <si>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</si>
  <si>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</si>
  <si>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</si>
  <si>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</si>
  <si>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</si>
  <si>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</si>
  <si>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</si>
  <si>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</si>
  <si>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</si>
  <si>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</si>
  <si>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</si>
  <si>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</si>
  <si>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</si>
  <si>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</si>
  <si>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</si>
  <si>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</si>
  <si>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</si>
  <si>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</si>
  <si>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</si>
  <si>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</si>
  <si>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</si>
  <si>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</si>
  <si>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</si>
  <si>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</si>
  <si>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</si>
  <si>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</si>
  <si>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</si>
  <si>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</si>
  <si>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</si>
  <si>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</si>
  <si>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</si>
  <si>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</si>
  <si>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</si>
  <si>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</si>
  <si>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</si>
  <si>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</si>
  <si>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</si>
  <si>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</si>
  <si>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</si>
  <si>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</si>
  <si>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</si>
  <si>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</si>
  <si>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</si>
  <si>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</si>
  <si>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</si>
  <si>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</si>
  <si>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</si>
  <si>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</si>
  <si>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</si>
  <si>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</si>
  <si>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</si>
  <si>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</si>
  <si>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</si>
  <si>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</si>
  <si>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</si>
  <si>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</si>
  <si>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</si>
  <si>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</si>
  <si>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</si>
  <si>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</si>
  <si>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</si>
  <si>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</si>
  <si>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</si>
  <si>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</si>
  <si>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</si>
  <si>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</si>
  <si>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</si>
  <si>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</si>
  <si>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</si>
  <si>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</si>
  <si>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</si>
  <si>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</si>
  <si>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</si>
  <si>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</si>
  <si>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</si>
  <si>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</si>
  <si>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</si>
  <si>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</si>
  <si>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</si>
  <si>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</si>
  <si>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</si>
  <si>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</si>
  <si>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</si>
  <si>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</si>
  <si>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</si>
  <si>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</si>
  <si>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</si>
  <si>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</si>
  <si>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</si>
  <si>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</si>
  <si>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</si>
  <si>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</si>
  <si>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</si>
  <si>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</si>
  <si>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</si>
  <si>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</si>
  <si>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</si>
  <si>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</si>
  <si>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</si>
  <si>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</si>
  <si>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</si>
  <si>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</si>
  <si>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</si>
  <si>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</si>
  <si>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</si>
  <si>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</si>
  <si>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</si>
  <si>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</si>
  <si>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</si>
  <si>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</si>
  <si>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</si>
  <si>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</si>
  <si>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</si>
  <si>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</si>
  <si>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</si>
  <si>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</si>
  <si>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</si>
  <si>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</si>
  <si>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</si>
  <si>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</si>
  <si>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</si>
  <si>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</si>
  <si>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</si>
  <si>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</si>
  <si>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</si>
  <si>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</si>
  <si>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</si>
  <si>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</si>
  <si>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</si>
  <si>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</si>
  <si>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</si>
  <si>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</si>
  <si>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</si>
  <si>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</si>
  <si>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</si>
  <si>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</si>
  <si>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</si>
  <si>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</si>
  <si>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</si>
  <si>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</si>
  <si>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</si>
  <si>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</si>
  <si>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</si>
  <si>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</si>
  <si>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</si>
  <si>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</si>
  <si>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</si>
  <si>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</si>
  <si>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</si>
  <si>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</si>
  <si>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</si>
  <si>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</si>
  <si>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</si>
  <si>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</si>
  <si>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</si>
  <si>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</si>
  <si>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</si>
  <si>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</si>
  <si>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</si>
  <si>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</si>
  <si>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</si>
  <si>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</si>
  <si>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</si>
  <si>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</si>
  <si>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</si>
  <si>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</si>
  <si>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</si>
  <si>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</si>
  <si>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</si>
  <si>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</si>
  <si>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</si>
  <si>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</si>
  <si>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</si>
  <si>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</si>
  <si>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</si>
  <si>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</si>
  <si>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</si>
  <si>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</si>
  <si>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</si>
  <si>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</si>
  <si>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</si>
  <si>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</si>
  <si>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</si>
  <si>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</si>
  <si>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</si>
  <si>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</si>
  <si>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</si>
  <si>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</si>
  <si>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</si>
  <si>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</si>
  <si>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</si>
  <si>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</si>
  <si>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</si>
  <si>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</si>
  <si>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</si>
  <si>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</si>
  <si>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</si>
  <si>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</si>
  <si>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</si>
  <si>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</si>
  <si>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</si>
  <si>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</si>
  <si>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</si>
  <si>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</si>
  <si>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</si>
  <si>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</si>
  <si>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</si>
  <si>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</si>
  <si>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</si>
  <si>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</si>
  <si>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</si>
  <si>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</si>
  <si>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</si>
  <si>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</si>
  <si>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</si>
  <si>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</si>
  <si>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</si>
  <si>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</si>
  <si>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</si>
  <si>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</si>
  <si>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</si>
  <si>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</si>
  <si>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</si>
  <si>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</si>
  <si>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</si>
  <si>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</si>
  <si>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</si>
  <si>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</si>
  <si>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</si>
  <si>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</si>
  <si>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</si>
  <si>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</si>
  <si>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</si>
  <si>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</si>
  <si>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</si>
  <si>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</si>
  <si>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</si>
  <si>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</si>
  <si>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</si>
  <si>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</si>
  <si>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</si>
  <si>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</si>
  <si>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</si>
  <si>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</si>
  <si>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</si>
  <si>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</si>
  <si>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</si>
  <si>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</si>
  <si>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</si>
  <si>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</si>
  <si>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</si>
  <si>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</si>
  <si>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</si>
  <si>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</si>
  <si>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</si>
  <si>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</si>
  <si>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</si>
  <si>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</si>
  <si>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</si>
  <si>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</si>
  <si>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</si>
  <si>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</si>
  <si>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</si>
  <si>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</si>
  <si>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</si>
  <si>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</si>
  <si>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</si>
  <si>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</si>
  <si>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</si>
  <si>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</si>
  <si>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</si>
  <si>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</si>
  <si>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</si>
  <si>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</si>
  <si>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</si>
  <si>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</si>
  <si>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</si>
  <si>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</si>
  <si>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</si>
  <si>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</si>
  <si>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</si>
  <si>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</si>
  <si>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</si>
  <si>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</si>
  <si>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</si>
  <si>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</si>
  <si>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</si>
  <si>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</si>
  <si>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</si>
  <si>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</si>
  <si>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</si>
  <si>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</si>
  <si>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</si>
  <si>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</si>
  <si>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</si>
  <si>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</si>
  <si>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</si>
  <si>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</si>
  <si>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</si>
  <si>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</si>
  <si>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</si>
  <si>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</si>
  <si>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</si>
  <si>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</si>
  <si>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</si>
  <si>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</si>
  <si>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</si>
  <si>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</si>
  <si>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</si>
  <si>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</si>
  <si>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</si>
  <si>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</si>
  <si>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</si>
  <si>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</si>
  <si>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</si>
  <si>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</si>
  <si>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</si>
  <si>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</si>
  <si>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</si>
  <si>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</si>
  <si>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</si>
  <si>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</si>
  <si>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</si>
  <si>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</si>
  <si>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</si>
  <si>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</si>
  <si>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</si>
  <si>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</si>
  <si>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</si>
  <si>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</si>
  <si>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</si>
  <si>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</si>
  <si>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</si>
  <si>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</si>
  <si>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</si>
  <si>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</si>
  <si>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</si>
  <si>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</si>
  <si>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</si>
  <si>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</si>
  <si>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</si>
  <si>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</si>
  <si>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</si>
  <si>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</si>
  <si>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</si>
  <si>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</si>
  <si>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</si>
  <si>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</si>
  <si>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</si>
  <si>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</si>
  <si>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</si>
  <si>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</si>
  <si>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</si>
  <si>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</si>
  <si>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</si>
  <si>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</si>
  <si>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</si>
  <si>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</si>
  <si>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</si>
  <si>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</si>
  <si>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</si>
  <si>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</si>
  <si>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</si>
  <si>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</si>
  <si>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</si>
  <si>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</si>
  <si>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</si>
  <si>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</si>
  <si>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</si>
  <si>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</si>
  <si>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</si>
  <si>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</si>
  <si>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</si>
  <si>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</si>
  <si>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</si>
  <si>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</si>
  <si>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</si>
  <si>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</si>
  <si>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</si>
  <si>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</si>
  <si>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</si>
  <si>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</si>
  <si>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</si>
  <si>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</si>
  <si>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</si>
  <si>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</si>
  <si>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</si>
  <si>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</si>
  <si>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</si>
  <si>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</si>
  <si>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</si>
  <si>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</si>
  <si>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</si>
  <si>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</si>
  <si>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</si>
  <si>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</si>
  <si>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</si>
  <si>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</si>
  <si>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</si>
  <si>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</si>
  <si>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</si>
  <si>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</si>
  <si>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</si>
  <si>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</si>
  <si>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</si>
  <si>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</si>
  <si>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</si>
  <si>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</si>
  <si>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</si>
  <si>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</si>
  <si>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</si>
  <si>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</si>
  <si>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</si>
  <si>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</si>
  <si>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</si>
  <si>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</si>
  <si>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</si>
  <si>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</si>
  <si>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</si>
  <si>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</si>
  <si>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</si>
  <si>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</si>
  <si>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</si>
  <si>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</si>
  <si>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</si>
  <si>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</si>
  <si>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</si>
  <si>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</si>
  <si>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</si>
  <si>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</si>
  <si>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</si>
  <si>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</si>
  <si>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</si>
  <si>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</si>
  <si>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</si>
  <si>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</si>
  <si>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</si>
  <si>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</si>
  <si>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</si>
  <si>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</si>
  <si>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</si>
  <si>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</si>
  <si>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</si>
  <si>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</si>
  <si>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</si>
  <si>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</si>
  <si>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</si>
  <si>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</si>
  <si>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</si>
  <si>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</si>
  <si>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</si>
  <si>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</si>
  <si>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</si>
  <si>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</si>
  <si>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</si>
  <si>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</si>
  <si>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</si>
  <si>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</si>
  <si>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</si>
  <si>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</si>
  <si>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</si>
  <si>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</si>
  <si>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</si>
  <si>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</si>
  <si>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</si>
  <si>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</si>
  <si>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</si>
  <si>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</si>
  <si>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</si>
  <si>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</si>
  <si>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</si>
  <si>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</si>
  <si>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</si>
  <si>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</si>
  <si>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</si>
  <si>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</si>
  <si>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</si>
  <si>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</si>
  <si>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</si>
  <si>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</si>
  <si>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</si>
  <si>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</si>
  <si>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</si>
  <si>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</si>
  <si>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</si>
  <si>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</si>
  <si>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</si>
  <si>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</si>
  <si>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</si>
  <si>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</si>
  <si>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</si>
  <si>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</si>
  <si>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</si>
  <si>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</si>
  <si>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</si>
  <si>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</si>
  <si>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</si>
  <si>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</si>
  <si>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</si>
  <si>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</si>
  <si>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</si>
  <si>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</si>
  <si>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</si>
  <si>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</si>
  <si>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</si>
  <si>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</si>
  <si>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</si>
  <si>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</si>
  <si>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</si>
  <si>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</si>
  <si>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</si>
  <si>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</si>
  <si>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</si>
  <si>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</si>
  <si>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</si>
  <si>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</si>
  <si>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</si>
  <si>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</si>
  <si>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</si>
  <si>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</si>
  <si>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</si>
  <si>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</si>
  <si>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</si>
  <si>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</si>
  <si>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</si>
  <si>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</si>
  <si>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</si>
  <si>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</si>
  <si>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</si>
  <si>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</si>
  <si>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</si>
  <si>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</si>
  <si>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</si>
  <si>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</si>
  <si>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</si>
  <si>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</si>
  <si>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</si>
  <si>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</si>
  <si>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</si>
  <si>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</si>
  <si>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</si>
  <si>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</si>
  <si>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</si>
  <si>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</si>
  <si>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</si>
  <si>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</si>
  <si>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</si>
  <si>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</si>
  <si>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</si>
  <si>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</si>
  <si>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</si>
  <si>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</si>
  <si>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</si>
  <si>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</si>
  <si>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</si>
  <si>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</si>
  <si>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</si>
  <si>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</si>
  <si>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</si>
  <si>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</si>
  <si>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</si>
  <si>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</si>
  <si>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</si>
  <si>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</si>
  <si>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</si>
  <si>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</si>
  <si>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</si>
  <si>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</si>
  <si>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</si>
  <si>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</si>
  <si>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</si>
  <si>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</si>
  <si>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</si>
  <si>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</si>
  <si>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</si>
  <si>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</si>
  <si>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</si>
  <si>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</si>
  <si>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</si>
  <si>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</si>
  <si>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</si>
  <si>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</si>
  <si>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</si>
  <si>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</si>
  <si>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</si>
  <si>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</si>
  <si>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</si>
  <si>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</si>
  <si>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</si>
  <si>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</si>
  <si>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</si>
  <si>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</si>
  <si>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</si>
  <si>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</si>
  <si>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</si>
  <si>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</si>
  <si>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</si>
  <si>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</si>
  <si>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</si>
  <si>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</si>
  <si>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</si>
  <si>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</si>
  <si>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</si>
  <si>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</si>
  <si>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</si>
  <si>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</si>
  <si>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</si>
  <si>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</si>
  <si>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</si>
  <si>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</si>
  <si>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</si>
  <si>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</si>
  <si>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</si>
  <si>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</si>
  <si>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</si>
  <si>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</si>
  <si>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</si>
  <si>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</si>
  <si>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</si>
  <si>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</si>
  <si>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</si>
  <si>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</si>
  <si>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</si>
  <si>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</si>
  <si>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</si>
  <si>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</si>
  <si>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</si>
  <si>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</si>
  <si>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</si>
  <si>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</si>
  <si>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</si>
  <si>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</si>
  <si>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</si>
  <si>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</si>
  <si>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</si>
  <si>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</si>
  <si>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</si>
  <si>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</si>
  <si>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</si>
  <si>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</si>
  <si>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</si>
  <si>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</si>
  <si>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</si>
  <si>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</si>
  <si>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</si>
  <si>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</si>
  <si>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</si>
  <si>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</si>
  <si>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</si>
  <si>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</si>
  <si>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</si>
  <si>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</si>
  <si>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</si>
  <si>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</si>
  <si>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</si>
  <si>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</si>
  <si>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</si>
  <si>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</si>
  <si>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</si>
  <si>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</si>
  <si>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</si>
  <si>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</si>
  <si>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</si>
  <si>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</si>
  <si>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</si>
  <si>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</si>
  <si>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</si>
  <si>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</si>
  <si>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</si>
  <si>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</si>
  <si>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</si>
  <si>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</si>
  <si>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</si>
  <si>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</si>
  <si>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</si>
  <si>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</si>
  <si>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</si>
  <si>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</si>
  <si>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</si>
  <si>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</si>
  <si>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</si>
  <si>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</si>
  <si>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</si>
  <si>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</si>
  <si>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</si>
  <si>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</si>
  <si>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</si>
  <si>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</si>
  <si>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</si>
  <si>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</si>
  <si>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</si>
  <si>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</si>
  <si>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</si>
  <si>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</si>
  <si>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</si>
  <si>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</si>
  <si>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</si>
  <si>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</si>
  <si>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</si>
  <si>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</si>
  <si>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</si>
  <si>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</si>
  <si>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</si>
  <si>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</si>
  <si>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</si>
  <si>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</si>
  <si>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</si>
  <si>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</si>
  <si>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</si>
  <si>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</si>
  <si>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</si>
  <si>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</si>
  <si>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</si>
  <si>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</si>
  <si>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</si>
  <si>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</si>
  <si>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</si>
  <si>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</si>
  <si>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</si>
  <si>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</si>
  <si>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</si>
  <si>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</si>
  <si>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</si>
  <si>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</si>
  <si>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</si>
  <si>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</si>
  <si>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</si>
  <si>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</si>
  <si>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</si>
  <si>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</si>
  <si>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</si>
  <si>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</si>
  <si>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</si>
  <si>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</si>
  <si>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</si>
  <si>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</si>
  <si>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</si>
  <si>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</si>
  <si>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</si>
  <si>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</si>
  <si>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</si>
  <si>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</si>
  <si>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</si>
  <si>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</si>
  <si>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</si>
  <si>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</si>
  <si>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</si>
  <si>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</si>
  <si>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</si>
  <si>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</si>
  <si>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</si>
  <si>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</si>
  <si>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</si>
  <si>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</si>
  <si>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</si>
  <si>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</si>
  <si>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</si>
  <si>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</si>
  <si>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</si>
  <si>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</si>
  <si>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</si>
  <si>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</si>
  <si>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</si>
  <si>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</si>
  <si>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</si>
  <si>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</si>
  <si>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</si>
  <si>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</si>
  <si>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</si>
  <si>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</si>
  <si>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</si>
  <si>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</si>
  <si>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</si>
  <si>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</si>
  <si>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</si>
  <si>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</si>
  <si>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</si>
  <si>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</si>
  <si>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</si>
  <si>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</si>
  <si>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</si>
  <si>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</si>
  <si>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</si>
  <si>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</si>
  <si>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</si>
  <si>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</si>
  <si>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</si>
  <si>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</si>
  <si>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</si>
  <si>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</si>
  <si>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</si>
  <si>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</si>
  <si>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</si>
  <si>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</si>
  <si>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</si>
  <si>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</si>
  <si>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</si>
  <si>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</si>
  <si>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</si>
  <si>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</si>
  <si>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</si>
  <si>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</si>
  <si>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</si>
  <si>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</si>
  <si>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</si>
  <si>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</si>
  <si>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</si>
  <si>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</si>
  <si>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</si>
  <si>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</si>
  <si>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</si>
  <si>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</si>
  <si>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</si>
  <si>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</si>
  <si>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</si>
  <si>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</si>
  <si>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</si>
  <si>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</si>
  <si>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</si>
  <si>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</si>
  <si>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</si>
  <si>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</si>
  <si>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</si>
  <si>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</si>
  <si>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</si>
  <si>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</si>
  <si>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</si>
  <si>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</si>
  <si>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</si>
  <si>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</si>
  <si>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</si>
  <si>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</si>
  <si>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</si>
  <si>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</si>
  <si>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</si>
  <si>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</si>
  <si>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</si>
  <si>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</si>
  <si>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</si>
  <si>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</si>
  <si>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</si>
  <si>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</si>
  <si>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</si>
  <si>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</si>
  <si>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</si>
  <si>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</si>
  <si>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</si>
  <si>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</si>
  <si>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</si>
  <si>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</si>
  <si>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</si>
  <si>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</si>
  <si>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</si>
  <si>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</si>
  <si>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</si>
  <si>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</si>
  <si>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</si>
  <si>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</si>
  <si>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</si>
  <si>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</si>
  <si>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</si>
  <si>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</si>
  <si>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</si>
  <si>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</si>
  <si>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</si>
  <si>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</si>
  <si>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</si>
  <si>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</si>
  <si>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</si>
  <si>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</si>
  <si>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</si>
  <si>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</si>
  <si>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</si>
  <si>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</si>
  <si>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</si>
  <si>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</si>
  <si>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</si>
  <si>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</si>
  <si>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</si>
  <si>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</si>
  <si>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</si>
  <si>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</si>
  <si>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</si>
  <si>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</si>
  <si>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</si>
  <si>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</si>
  <si>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</si>
  <si>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</si>
  <si>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</si>
  <si>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</si>
  <si>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</si>
  <si>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</si>
  <si>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</si>
  <si>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</si>
  <si>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</si>
  <si>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</si>
  <si>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</si>
  <si>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</si>
  <si>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</si>
  <si>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</si>
  <si>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</si>
  <si>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</si>
  <si>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</si>
  <si>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</si>
  <si>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</si>
  <si>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</si>
  <si>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</si>
  <si>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</si>
  <si>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</si>
  <si>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</si>
  <si>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</si>
  <si>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</si>
  <si>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</si>
  <si>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</si>
  <si>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</si>
  <si>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</si>
  <si>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</si>
  <si>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</si>
  <si>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</si>
  <si>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</si>
  <si>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</si>
  <si>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</si>
  <si>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</si>
  <si>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</si>
  <si>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</si>
  <si>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</si>
  <si>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</si>
  <si>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</si>
  <si>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</si>
  <si>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</si>
  <si>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</si>
  <si>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</si>
  <si>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</si>
  <si>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</si>
  <si>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</si>
  <si>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</si>
  <si>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</si>
  <si>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</si>
  <si>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</si>
  <si>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</si>
  <si>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</si>
  <si>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</si>
  <si>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</si>
  <si>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</si>
  <si>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</si>
  <si>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</si>
  <si>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</si>
  <si>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</si>
  <si>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</si>
  <si>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</si>
  <si>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</si>
  <si>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</si>
  <si>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</si>
  <si>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</si>
  <si>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</si>
  <si>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</si>
  <si>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</si>
  <si>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</si>
  <si>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</si>
  <si>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</si>
  <si>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</si>
  <si>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</si>
  <si>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</si>
  <si>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</si>
  <si>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</si>
  <si>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</si>
  <si>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</si>
  <si>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</si>
  <si>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</si>
  <si>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</si>
  <si>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</si>
  <si>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</si>
  <si>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</si>
  <si>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</si>
  <si>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</si>
  <si>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</si>
  <si>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</si>
  <si>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</si>
  <si>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</si>
  <si>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</si>
  <si>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</si>
  <si>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</si>
  <si>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</si>
  <si>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</si>
  <si>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</si>
  <si>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</si>
  <si>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</si>
  <si>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</si>
  <si>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</si>
  <si>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</si>
  <si>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</si>
  <si>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</si>
  <si>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</si>
  <si>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</si>
  <si>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</si>
  <si>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</si>
  <si>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</si>
  <si>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</si>
  <si>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</si>
  <si>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</si>
  <si>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</si>
  <si>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</si>
  <si>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</si>
  <si>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</si>
  <si>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</si>
  <si>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</si>
  <si>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</si>
  <si>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</si>
  <si>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</si>
  <si>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</si>
  <si>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</si>
  <si>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</si>
  <si>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</si>
  <si>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</si>
  <si>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</si>
  <si>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</si>
  <si>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</si>
  <si>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</si>
  <si>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</si>
  <si>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</si>
  <si>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</si>
  <si>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</si>
  <si>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</si>
  <si>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</si>
  <si>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</si>
  <si>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</si>
  <si>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</si>
  <si>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</si>
  <si>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</si>
  <si>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</si>
  <si>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</si>
  <si>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</si>
  <si>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</si>
  <si>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</si>
  <si>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</si>
  <si>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</si>
  <si>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</si>
  <si>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</si>
  <si>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</si>
  <si>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</si>
  <si>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</si>
  <si>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</si>
  <si>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</si>
  <si>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</si>
  <si>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</si>
  <si>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</si>
  <si>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</si>
  <si>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</si>
  <si>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</si>
  <si>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</si>
  <si>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</si>
  <si>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</si>
  <si>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</si>
  <si>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</si>
  <si>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</si>
  <si>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</si>
  <si>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</si>
  <si>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</si>
  <si>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</si>
  <si>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</si>
  <si>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</si>
  <si>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</si>
  <si>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</si>
  <si>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</si>
  <si>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</si>
  <si>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</si>
  <si>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</si>
  <si>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</si>
  <si>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</si>
  <si>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</si>
  <si>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</si>
  <si>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</si>
  <si>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</si>
  <si>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</si>
  <si>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</si>
  <si>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</si>
  <si>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</si>
  <si>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</si>
  <si>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</si>
  <si>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</si>
  <si>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</si>
  <si>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</si>
  <si>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</si>
  <si>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</si>
  <si>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</si>
  <si>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</si>
  <si>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</si>
  <si>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</si>
  <si>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</si>
  <si>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</si>
  <si>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</si>
  <si>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</si>
  <si>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</si>
  <si>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</si>
  <si>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</si>
  <si>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</si>
  <si>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</si>
  <si>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</si>
  <si>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</si>
  <si>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</si>
  <si>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</si>
  <si>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</si>
  <si>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</si>
  <si>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</si>
  <si>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</si>
  <si>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</si>
  <si>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</si>
  <si>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</si>
  <si>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</si>
  <si>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</si>
  <si>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</si>
  <si>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</si>
  <si>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</si>
  <si>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</si>
  <si>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</si>
  <si>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</si>
  <si>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</si>
  <si>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</si>
  <si>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</si>
  <si>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</si>
  <si>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</si>
  <si>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</si>
  <si>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</si>
  <si>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</si>
  <si>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</si>
  <si>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</si>
  <si>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</si>
  <si>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</si>
  <si>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</si>
  <si>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</si>
  <si>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</si>
  <si>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</si>
  <si>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</si>
  <si>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</si>
  <si>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</si>
  <si>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</si>
  <si>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</si>
  <si>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</si>
  <si>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</si>
  <si>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</si>
  <si>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</si>
  <si>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</si>
  <si>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</si>
  <si>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</si>
  <si>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</si>
  <si>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</si>
  <si>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</si>
  <si>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</si>
  <si>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</si>
  <si>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</si>
  <si>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</si>
  <si>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</si>
  <si>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</si>
  <si>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</si>
  <si>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</si>
  <si>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</si>
  <si>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</si>
  <si>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</si>
  <si>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</si>
  <si>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</si>
  <si>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</si>
  <si>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</si>
  <si>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</si>
  <si>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</si>
  <si>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</si>
  <si>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</si>
  <si>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</si>
  <si>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</si>
  <si>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</si>
  <si>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</si>
  <si>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</si>
  <si>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</si>
  <si>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</si>
  <si>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</si>
  <si>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</si>
  <si>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</si>
  <si>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</si>
  <si>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</si>
  <si>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</si>
  <si>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</si>
  <si>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</si>
  <si>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</si>
  <si>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</si>
  <si>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</si>
  <si>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</si>
  <si>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</si>
  <si>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</si>
  <si>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</si>
  <si>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</si>
  <si>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</si>
  <si>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</si>
  <si>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</si>
  <si>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</si>
  <si>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</si>
  <si>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</si>
  <si>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</si>
  <si>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</si>
  <si>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</si>
  <si>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</si>
  <si>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</si>
  <si>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</si>
  <si>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</si>
  <si>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</si>
  <si>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</si>
  <si>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</si>
  <si>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</si>
  <si>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</si>
  <si>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</si>
  <si>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</si>
  <si>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</si>
  <si>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</si>
  <si>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</si>
  <si>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</si>
  <si>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</si>
  <si>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</si>
  <si>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</si>
  <si>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</si>
  <si>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</si>
  <si>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</si>
  <si>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</si>
  <si>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</si>
  <si>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</si>
  <si>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</si>
  <si>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</si>
  <si>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</si>
  <si>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</si>
  <si>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</si>
  <si>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</si>
  <si>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</si>
  <si>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</si>
  <si>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</si>
  <si>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</si>
  <si>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</si>
  <si>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</si>
  <si>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</si>
  <si>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</si>
  <si>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</si>
  <si>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</si>
  <si>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</si>
  <si>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</si>
  <si>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</si>
  <si>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</si>
  <si>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</si>
  <si>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</si>
  <si>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</si>
  <si>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</si>
  <si>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</si>
  <si>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</si>
  <si>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</si>
  <si>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</si>
  <si>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</si>
  <si>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</si>
  <si>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</si>
  <si>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</si>
  <si>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</si>
  <si>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</si>
  <si>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</si>
  <si>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</si>
  <si>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</si>
  <si>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</si>
  <si>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</si>
  <si>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</si>
  <si>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</si>
  <si>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</si>
  <si>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</si>
  <si>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</si>
  <si>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</si>
  <si>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</si>
  <si>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</si>
  <si>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</si>
  <si>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</si>
  <si>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</si>
  <si>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</si>
  <si>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</si>
  <si>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</si>
  <si>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</si>
  <si>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</si>
  <si>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</si>
  <si>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</si>
  <si>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</si>
  <si>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</si>
  <si>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</si>
  <si>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</si>
  <si>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</si>
  <si>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</si>
  <si>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</si>
  <si>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</si>
  <si>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</si>
  <si>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</si>
  <si>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</si>
  <si>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</si>
  <si>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</si>
  <si>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</si>
  <si>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</si>
  <si>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</si>
  <si>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</si>
  <si>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</si>
  <si>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</si>
  <si>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</si>
  <si>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</si>
  <si>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</si>
  <si>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</si>
  <si>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</si>
  <si>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</si>
  <si>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</si>
  <si>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</si>
  <si>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</si>
  <si>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</si>
  <si>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</si>
  <si>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</si>
  <si>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</si>
  <si>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</si>
  <si>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</si>
  <si>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</si>
  <si>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</si>
  <si>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</si>
  <si>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</si>
  <si>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</si>
  <si>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</si>
  <si>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</si>
  <si>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</si>
  <si>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</si>
  <si>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</si>
  <si>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</si>
  <si>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</si>
  <si>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</si>
  <si>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</si>
  <si>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</si>
  <si>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</si>
  <si>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</si>
  <si>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</si>
  <si>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</si>
  <si>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</si>
  <si>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</si>
  <si>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</si>
  <si>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</si>
  <si>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</si>
  <si>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</si>
  <si>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</si>
  <si>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</si>
  <si>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</si>
  <si>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</si>
  <si>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</si>
  <si>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</si>
  <si>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</si>
  <si>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</si>
  <si>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</si>
  <si>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</si>
  <si>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</si>
  <si>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</si>
  <si>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</si>
  <si>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</si>
  <si>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</si>
  <si>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</si>
  <si>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</si>
  <si>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</si>
  <si>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</si>
  <si>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</si>
  <si>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</si>
  <si>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</si>
  <si>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</si>
  <si>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</si>
  <si>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</si>
  <si>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</si>
  <si>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</si>
  <si>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</si>
  <si>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</si>
  <si>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</si>
  <si>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</si>
  <si>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</si>
  <si>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</si>
  <si>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</si>
  <si>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</si>
  <si>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</si>
  <si>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</si>
  <si>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</si>
  <si>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</si>
  <si>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</si>
  <si>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</si>
  <si>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</si>
  <si>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</si>
  <si>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</si>
  <si>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</si>
  <si>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</si>
  <si>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</si>
  <si>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</si>
  <si>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</si>
  <si>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</si>
  <si>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</si>
  <si>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</si>
  <si>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</si>
  <si>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</si>
  <si>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</si>
  <si>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</si>
  <si>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</si>
  <si>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</si>
  <si>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</si>
  <si>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</si>
  <si>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</si>
  <si>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</si>
  <si>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</si>
  <si>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</si>
  <si>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</si>
  <si>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</si>
  <si>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</si>
  <si>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</si>
  <si>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</si>
  <si>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</si>
  <si>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</si>
  <si>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</si>
  <si>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</si>
  <si>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</si>
  <si>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</si>
  <si>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</si>
  <si>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</si>
  <si>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</si>
  <si>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</si>
  <si>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</si>
  <si>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</si>
  <si>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</si>
  <si>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</si>
  <si>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</si>
  <si>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</si>
  <si>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</si>
  <si>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</si>
  <si>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</si>
  <si>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</si>
  <si>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</si>
  <si>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</si>
  <si>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</si>
  <si>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</si>
  <si>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</si>
  <si>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</si>
  <si>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</si>
  <si>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</si>
  <si>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</si>
  <si>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</si>
  <si>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</si>
  <si>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</si>
  <si>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</si>
  <si>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</si>
  <si>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</si>
  <si>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</si>
  <si>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</si>
  <si>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</si>
  <si>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</si>
  <si>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</si>
  <si>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</si>
  <si>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</si>
  <si>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</si>
  <si>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</si>
  <si>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</si>
  <si>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</si>
  <si>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</si>
  <si>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</si>
  <si>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</si>
  <si>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</si>
  <si>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</si>
  <si>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</si>
  <si>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</si>
  <si>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</si>
  <si>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</si>
  <si>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</si>
  <si>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</si>
  <si>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</si>
  <si>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</si>
  <si>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</si>
  <si>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</si>
  <si>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</si>
  <si>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</si>
  <si>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</si>
  <si>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</si>
  <si>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</si>
  <si>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</si>
  <si>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</si>
  <si>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</si>
  <si>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</si>
  <si>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</si>
  <si>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</si>
  <si>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</si>
  <si>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</si>
  <si>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</si>
  <si>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</si>
  <si>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</si>
  <si>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</si>
  <si>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</si>
  <si>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</si>
  <si>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</si>
  <si>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</si>
  <si>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</si>
  <si>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</si>
  <si>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</si>
  <si>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</si>
  <si>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</si>
  <si>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</si>
  <si>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</si>
  <si>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</si>
  <si>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</si>
  <si>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</si>
  <si>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</si>
  <si>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</si>
  <si>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</si>
  <si>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</si>
  <si>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</si>
  <si>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</si>
  <si>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</si>
  <si>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</si>
  <si>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</si>
  <si>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</si>
  <si>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</si>
  <si>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</si>
  <si>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</si>
  <si>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</si>
  <si>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</si>
  <si>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</si>
  <si>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</si>
  <si>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</si>
  <si>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</si>
  <si>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</si>
  <si>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</si>
  <si>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</si>
  <si>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</si>
  <si>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</si>
  <si>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</si>
  <si>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</si>
  <si>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</si>
  <si>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</si>
  <si>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</si>
  <si>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</si>
  <si>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</si>
  <si>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</si>
  <si>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</si>
  <si>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</si>
  <si>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</si>
  <si>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</si>
  <si>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</si>
  <si>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</si>
  <si>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</si>
  <si>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</si>
  <si>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</si>
  <si>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</si>
  <si>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</si>
  <si>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</si>
  <si>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</si>
  <si>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</si>
  <si>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</si>
  <si>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</si>
  <si>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</si>
  <si>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</si>
  <si>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</si>
  <si>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</si>
  <si>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</si>
  <si>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</si>
  <si>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</si>
  <si>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</si>
  <si>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</si>
  <si>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</si>
  <si>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</si>
  <si>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</si>
  <si>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</si>
  <si>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</si>
  <si>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</si>
  <si>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</si>
  <si>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</si>
  <si>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</si>
  <si>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</si>
  <si>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</si>
  <si>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</si>
  <si>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</si>
  <si>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</si>
  <si>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</si>
  <si>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</si>
  <si>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</si>
  <si>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</si>
  <si>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</si>
  <si>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</si>
  <si>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</si>
  <si>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</si>
  <si>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</si>
  <si>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</si>
  <si>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</si>
  <si>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</si>
  <si>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</si>
  <si>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</si>
  <si>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</si>
  <si>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</si>
  <si>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</si>
  <si>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</si>
  <si>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</si>
  <si>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</si>
  <si>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</si>
  <si>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</si>
  <si>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</si>
  <si>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</si>
  <si>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</si>
  <si>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</si>
  <si>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</si>
  <si>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</si>
  <si>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</si>
  <si>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</si>
  <si>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</si>
  <si>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</si>
  <si>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</si>
  <si>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</si>
  <si>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</si>
  <si>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</si>
  <si>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</si>
  <si>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</si>
  <si>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</si>
  <si>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</si>
  <si>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</si>
  <si>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</si>
  <si>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</si>
  <si>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</si>
  <si>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</si>
  <si>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</si>
  <si>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</si>
  <si>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</si>
  <si>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</si>
  <si>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</si>
  <si>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</si>
  <si>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</si>
  <si>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</si>
  <si>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</si>
  <si>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</si>
  <si>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</si>
  <si>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</si>
  <si>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</si>
  <si>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</si>
  <si>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</si>
  <si>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</si>
  <si>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</si>
  <si>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</si>
  <si>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</si>
  <si>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</si>
  <si>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</si>
  <si>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</si>
  <si>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</si>
  <si>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</si>
  <si>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</si>
  <si>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</si>
  <si>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</si>
  <si>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</si>
  <si>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</si>
  <si>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</si>
  <si>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</si>
  <si>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</si>
  <si>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</si>
  <si>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</si>
  <si>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</si>
  <si>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</si>
  <si>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</si>
  <si>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</si>
  <si>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</si>
  <si>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</si>
  <si>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</si>
  <si>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</si>
  <si>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</si>
  <si>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</si>
  <si>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</si>
  <si>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</si>
  <si>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</si>
  <si>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</si>
  <si>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</si>
  <si>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</si>
  <si>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</si>
  <si>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</si>
  <si>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</si>
  <si>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</si>
  <si>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</si>
  <si>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</si>
  <si>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</si>
  <si>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</si>
  <si>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</si>
  <si>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</si>
  <si>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</si>
  <si>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</si>
  <si>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</si>
  <si>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</si>
  <si>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</si>
  <si>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</si>
  <si>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</si>
  <si>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</si>
  <si>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</si>
  <si>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</si>
  <si>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</si>
  <si>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</si>
  <si>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</si>
  <si>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</si>
  <si>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</si>
  <si>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</si>
  <si>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</si>
  <si>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</si>
  <si>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</si>
  <si>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</si>
  <si>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</si>
  <si>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</si>
  <si>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</si>
  <si>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</si>
  <si>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</si>
  <si>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</si>
  <si>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</si>
  <si>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</si>
  <si>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</si>
  <si>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</si>
  <si>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</si>
  <si>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</si>
  <si>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</si>
  <si>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</si>
  <si>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</si>
  <si>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</si>
  <si>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</si>
  <si>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</si>
  <si>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</si>
  <si>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</si>
  <si>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</si>
  <si>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</si>
  <si>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</si>
  <si>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</si>
  <si>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</si>
  <si>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</si>
  <si>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</si>
  <si>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</si>
  <si>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</si>
  <si>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</si>
  <si>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</si>
  <si>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</si>
  <si>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</si>
  <si>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</si>
  <si>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</si>
  <si>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</si>
  <si>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</si>
  <si>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</si>
  <si>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</si>
  <si>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</si>
  <si>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</si>
  <si>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</si>
  <si>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</si>
  <si>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</si>
  <si>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</si>
  <si>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</si>
  <si>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</si>
  <si>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</si>
  <si>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</si>
  <si>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</si>
  <si>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</si>
  <si>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</si>
  <si>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</si>
  <si>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</si>
  <si>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</si>
  <si>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</si>
  <si>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</si>
  <si>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</si>
  <si>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</si>
  <si>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</si>
  <si>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</si>
  <si>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</si>
  <si>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</si>
  <si>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</si>
  <si>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</si>
  <si>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</si>
  <si>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</si>
  <si>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</si>
  <si>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</si>
  <si>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</si>
  <si>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</si>
  <si>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</si>
  <si>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</si>
  <si>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</si>
  <si>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</si>
  <si>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</si>
  <si>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</si>
  <si>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</si>
  <si>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</si>
  <si>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</si>
  <si>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</si>
  <si>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</si>
  <si>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</si>
  <si>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</si>
  <si>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</si>
  <si>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</si>
  <si>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</si>
  <si>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</si>
  <si>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</si>
  <si>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</si>
  <si>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</si>
  <si>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</si>
  <si>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</si>
  <si>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</si>
  <si>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</si>
  <si>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</si>
  <si>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</si>
  <si>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</si>
  <si>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</si>
  <si>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</si>
  <si>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</si>
  <si>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</si>
  <si>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</si>
  <si>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</si>
  <si>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</si>
  <si>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</si>
  <si>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</si>
  <si>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</si>
  <si>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</si>
  <si>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</si>
  <si>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</si>
  <si>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</si>
  <si>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</si>
  <si>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</si>
  <si>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</si>
  <si>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</si>
  <si>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</si>
  <si>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</si>
  <si>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</si>
  <si>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</si>
  <si>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</si>
  <si>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</si>
  <si>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</si>
  <si>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</si>
  <si>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</si>
  <si>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</si>
  <si>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</si>
  <si>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</si>
  <si>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</si>
  <si>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</si>
  <si>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</si>
  <si>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</si>
  <si>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</si>
  <si>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</si>
  <si>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</si>
  <si>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</si>
  <si>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</si>
  <si>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</si>
  <si>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</si>
  <si>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</si>
  <si>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</si>
  <si>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</si>
  <si>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</si>
  <si>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</si>
  <si>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</si>
  <si>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</si>
  <si>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</si>
  <si>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</si>
  <si>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</si>
  <si>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</si>
  <si>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</si>
  <si>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</si>
  <si>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</si>
  <si>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</si>
  <si>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</si>
  <si>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</si>
  <si>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</si>
  <si>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</si>
  <si>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</si>
  <si>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</si>
  <si>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</si>
  <si>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</si>
  <si>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</si>
  <si>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</si>
  <si>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</si>
  <si>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</si>
  <si>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</si>
  <si>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</si>
  <si>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</si>
  <si>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</si>
  <si>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</si>
  <si>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</si>
  <si>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</si>
  <si>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</si>
  <si>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</si>
  <si>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</si>
  <si>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</si>
  <si>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</si>
  <si>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</si>
  <si>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</si>
  <si>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</si>
  <si>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</si>
  <si>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</si>
  <si>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</si>
  <si>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</si>
  <si>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</si>
  <si>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</si>
  <si>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</si>
  <si>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</si>
  <si>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</si>
  <si>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</si>
  <si>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</si>
  <si>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</si>
  <si>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</si>
  <si>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</si>
  <si>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</si>
  <si>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</si>
  <si>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</si>
  <si>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</si>
  <si>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</si>
  <si>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</si>
  <si>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</si>
  <si>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</si>
  <si>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</si>
  <si>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</si>
  <si>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</si>
  <si>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</si>
  <si>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</si>
  <si>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</si>
  <si>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</si>
  <si>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</si>
  <si>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</si>
  <si>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</si>
  <si>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</si>
  <si>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</si>
  <si>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</si>
  <si>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</si>
  <si>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</si>
  <si>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</si>
  <si>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</si>
  <si>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</si>
  <si>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</si>
  <si>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</si>
  <si>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</si>
  <si>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</si>
  <si>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</si>
  <si>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</si>
  <si>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</si>
  <si>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</si>
  <si>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</si>
  <si>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</si>
  <si>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</si>
  <si>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</si>
  <si>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</si>
  <si>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</si>
  <si>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</si>
  <si>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</si>
  <si>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</si>
  <si>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</si>
  <si>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</si>
  <si>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</si>
  <si>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</si>
  <si>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</si>
  <si>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</si>
  <si>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</si>
  <si>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</si>
  <si>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</si>
  <si>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</si>
  <si>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</si>
  <si>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</si>
  <si>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</si>
  <si>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</si>
  <si>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</si>
  <si>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</si>
  <si>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</si>
  <si>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</si>
  <si>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</si>
  <si>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</si>
  <si>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</si>
  <si>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</si>
  <si>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</si>
  <si>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</si>
  <si>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</si>
  <si>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</si>
  <si>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</si>
  <si>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</si>
  <si>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</si>
  <si>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</si>
  <si>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</si>
  <si>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</si>
  <si>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</si>
  <si>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</si>
  <si>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</si>
  <si>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</si>
  <si>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</si>
  <si>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</si>
  <si>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</si>
  <si>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</si>
  <si>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</si>
  <si>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</si>
  <si>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</si>
  <si>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</si>
  <si>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</si>
  <si>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</si>
  <si>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</si>
  <si>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</si>
  <si>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</si>
  <si>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</si>
  <si>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</si>
  <si>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</si>
  <si>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</si>
  <si>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</si>
  <si>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</si>
  <si>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</si>
  <si>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</si>
  <si>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</si>
  <si>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</si>
  <si>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</si>
  <si>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</si>
  <si>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</si>
  <si>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</si>
  <si>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</si>
  <si>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</si>
  <si>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</si>
  <si>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</si>
  <si>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</si>
  <si>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</si>
  <si>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</si>
  <si>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</si>
  <si>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</si>
  <si>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</si>
  <si>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</si>
  <si>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</si>
  <si>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</si>
  <si>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</si>
  <si>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</si>
  <si>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</si>
  <si>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</si>
  <si>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</si>
  <si>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</si>
  <si>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</si>
  <si>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</si>
  <si>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</si>
  <si>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</si>
  <si>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</si>
  <si>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</si>
  <si>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</si>
  <si>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</si>
  <si>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</si>
  <si>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</si>
  <si>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</si>
  <si>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</si>
  <si>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</si>
  <si>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</si>
  <si>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</si>
  <si>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</si>
  <si>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</si>
  <si>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</si>
  <si>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</si>
  <si>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</si>
  <si>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</si>
  <si>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</si>
  <si>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</si>
  <si>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</si>
  <si>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</si>
  <si>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</si>
  <si>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</si>
  <si>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</si>
  <si>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</si>
  <si>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</si>
  <si>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</si>
  <si>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</si>
  <si>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</si>
  <si>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</si>
  <si>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</si>
  <si>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</si>
  <si>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</si>
  <si>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</si>
  <si>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</si>
  <si>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</si>
  <si>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</si>
  <si>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</si>
  <si>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</si>
  <si>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</si>
  <si>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</si>
  <si>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</si>
  <si>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</si>
  <si>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</si>
  <si>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</si>
  <si>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</si>
  <si>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</si>
  <si>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</si>
  <si>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</si>
  <si>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</si>
  <si>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</si>
  <si>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</si>
  <si>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</si>
  <si>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</si>
  <si>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</si>
  <si>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</si>
  <si>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</si>
  <si>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</si>
  <si>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</si>
  <si>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</si>
  <si>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</si>
  <si>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</si>
  <si>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</si>
  <si>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</si>
  <si>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</si>
  <si>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</si>
  <si>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</si>
  <si>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</si>
  <si>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</si>
  <si>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</si>
  <si>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</si>
  <si>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</si>
  <si>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</si>
  <si>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</si>
  <si>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</si>
  <si>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</si>
  <si>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</si>
  <si>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</si>
  <si>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</si>
  <si>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</si>
  <si>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</si>
  <si>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</si>
  <si>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</si>
  <si>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</si>
  <si>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</si>
  <si>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</si>
  <si>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</si>
  <si>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</si>
  <si>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</si>
  <si>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</si>
  <si>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</si>
  <si>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</si>
  <si>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</si>
  <si>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</si>
  <si>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</si>
  <si>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</si>
  <si>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</si>
  <si>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</si>
  <si>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</si>
  <si>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</si>
  <si>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</si>
  <si>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</si>
  <si>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</si>
  <si>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</si>
  <si>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</si>
  <si>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</si>
  <si>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</si>
  <si>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</si>
  <si>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</si>
  <si>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</si>
  <si>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</si>
  <si>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</si>
  <si>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</si>
  <si>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</si>
  <si>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</si>
  <si>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</si>
  <si>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</si>
  <si>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</si>
  <si>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</si>
  <si>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</si>
  <si>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</si>
  <si>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</si>
  <si>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</si>
  <si>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</si>
  <si>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</si>
  <si>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</si>
  <si>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</si>
  <si>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</si>
  <si>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</si>
  <si>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</si>
  <si>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</si>
  <si>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</si>
  <si>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</si>
  <si>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</si>
  <si>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</si>
  <si>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</si>
  <si>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</si>
  <si>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</si>
  <si>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</si>
  <si>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</si>
  <si>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</si>
  <si>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</si>
  <si>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</si>
  <si>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</si>
  <si>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</si>
  <si>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</si>
  <si>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</si>
  <si>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</si>
  <si>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</si>
  <si>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</si>
  <si>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</si>
  <si>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</si>
  <si>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</si>
  <si>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</si>
  <si>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</si>
  <si>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</si>
  <si>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</si>
  <si>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</si>
  <si>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</si>
  <si>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</si>
  <si>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</si>
  <si>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</si>
  <si>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</si>
  <si>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</si>
  <si>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</si>
  <si>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</si>
  <si>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</si>
  <si>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</si>
  <si>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</si>
  <si>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</si>
  <si>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</si>
  <si>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</si>
  <si>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</si>
  <si>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</si>
  <si>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</si>
  <si>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</si>
  <si>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</si>
  <si>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</si>
  <si>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</si>
  <si>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</si>
  <si>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</si>
  <si>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</si>
  <si>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</si>
  <si>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</si>
  <si>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</si>
  <si>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</si>
  <si>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</si>
  <si>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</si>
  <si>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</si>
  <si>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</si>
  <si>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</si>
  <si>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</si>
  <si>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</si>
  <si>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</si>
  <si>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</si>
  <si>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</si>
  <si>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</si>
  <si>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</si>
  <si>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</si>
  <si>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</si>
  <si>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</si>
  <si>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</si>
  <si>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</si>
  <si>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</si>
  <si>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</si>
  <si>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</si>
  <si>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</si>
  <si>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</si>
  <si>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</si>
  <si>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</si>
  <si>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</si>
  <si>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</si>
  <si>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</si>
  <si>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</si>
  <si>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</si>
  <si>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</si>
  <si>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</si>
  <si>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</si>
  <si>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</si>
  <si>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</si>
  <si>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</si>
  <si>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</si>
  <si>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</si>
  <si>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</si>
  <si>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</si>
  <si>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</si>
  <si>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</si>
  <si>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</si>
  <si>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</si>
  <si>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</si>
  <si>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</si>
  <si>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</si>
  <si>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</si>
  <si>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</si>
  <si>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</si>
  <si>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</si>
  <si>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</si>
  <si>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</si>
  <si>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</si>
  <si>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</si>
  <si>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</si>
  <si>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</si>
  <si>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</si>
  <si>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</si>
  <si>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</si>
  <si>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</si>
  <si>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</si>
  <si>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</si>
  <si>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</si>
  <si>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</si>
  <si>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</si>
  <si>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</si>
  <si>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</si>
  <si>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</si>
  <si>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</si>
  <si>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</si>
  <si>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</si>
  <si>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</si>
  <si>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</si>
  <si>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</si>
  <si>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</si>
  <si>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</si>
  <si>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</si>
  <si>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</si>
  <si>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</si>
  <si>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</si>
  <si>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</si>
  <si>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</si>
  <si>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</si>
  <si>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</si>
  <si>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</si>
  <si>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</si>
  <si>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</si>
  <si>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</si>
  <si>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</si>
  <si>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</si>
  <si>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</si>
  <si>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</si>
  <si>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</si>
  <si>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</si>
  <si>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</si>
  <si>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</si>
  <si>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</si>
  <si>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</si>
  <si>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</si>
  <si>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</si>
  <si>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</si>
  <si>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</si>
  <si>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</si>
  <si>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</si>
  <si>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</si>
  <si>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</si>
  <si>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</si>
  <si>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</si>
  <si>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</si>
  <si>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</si>
  <si>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</si>
  <si>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</si>
  <si>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</si>
  <si>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</si>
  <si>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</si>
  <si>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</si>
  <si>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</si>
  <si>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</si>
  <si>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</si>
  <si>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</si>
  <si>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</si>
  <si>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</si>
  <si>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</si>
  <si>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</si>
  <si>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</si>
  <si>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</si>
  <si>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</si>
  <si>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</si>
  <si>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</si>
  <si>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</si>
  <si>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</si>
  <si>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</si>
  <si>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</si>
  <si>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</si>
  <si>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</si>
  <si>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</si>
  <si>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</si>
  <si>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</si>
  <si>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</si>
  <si>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</si>
  <si>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</si>
  <si>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</si>
  <si>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</si>
  <si>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</si>
  <si>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</si>
  <si>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</si>
  <si>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</si>
  <si>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</si>
  <si>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</si>
  <si>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</si>
  <si>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</si>
  <si>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</si>
  <si>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</si>
  <si>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</si>
  <si>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</si>
  <si>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</si>
  <si>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</si>
  <si>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</si>
  <si>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</si>
  <si>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</si>
  <si>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</si>
  <si>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</si>
  <si>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</si>
  <si>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</si>
  <si>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</si>
  <si>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</si>
  <si>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</si>
  <si>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</si>
  <si>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</si>
  <si>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</si>
  <si>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</si>
  <si>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</si>
  <si>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</si>
  <si>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</si>
  <si>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</si>
  <si>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</si>
  <si>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</si>
  <si>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</si>
  <si>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</si>
  <si>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</si>
  <si>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</si>
  <si>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</si>
  <si>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</si>
  <si>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</si>
  <si>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</si>
  <si>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</si>
  <si>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</si>
  <si>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</si>
  <si>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</si>
  <si>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</si>
  <si>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</si>
  <si>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</si>
  <si>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</si>
  <si>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</si>
  <si>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</si>
  <si>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</si>
  <si>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</si>
  <si>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</si>
  <si>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</si>
  <si>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</si>
  <si>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</si>
  <si>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</si>
  <si>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</si>
  <si>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</si>
  <si>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</si>
  <si>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</si>
  <si>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</si>
  <si>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</si>
  <si>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</si>
  <si>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</si>
  <si>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</si>
  <si>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</si>
  <si>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</si>
  <si>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</si>
  <si>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</si>
  <si>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</si>
  <si>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</si>
  <si>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</si>
  <si>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</si>
  <si>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</si>
  <si>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</si>
  <si>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</si>
  <si>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</si>
  <si>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</si>
  <si>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</si>
  <si>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</si>
  <si>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</si>
  <si>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</si>
  <si>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</si>
  <si>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</si>
  <si>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</si>
  <si>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</si>
  <si>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</si>
  <si>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</si>
  <si>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</si>
  <si>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</si>
  <si>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</si>
  <si>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</si>
  <si>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</si>
  <si>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</si>
  <si>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</si>
  <si>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</si>
  <si>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</si>
  <si>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</si>
  <si>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</si>
  <si>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</si>
  <si>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</si>
  <si>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</si>
  <si>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</si>
  <si>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</si>
  <si>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</si>
  <si>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</si>
  <si>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</si>
  <si>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</si>
  <si>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</si>
  <si>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</si>
  <si>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</si>
  <si>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</si>
  <si>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</si>
  <si>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</si>
  <si>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</si>
  <si>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</si>
  <si>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</si>
  <si>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</si>
  <si>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</si>
  <si>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</si>
  <si>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</si>
  <si>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</si>
  <si>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</si>
  <si>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</si>
  <si>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</si>
  <si>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</si>
  <si>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</si>
  <si>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</si>
  <si>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</si>
  <si>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</si>
  <si>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</si>
  <si>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</si>
  <si>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</si>
  <si>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</si>
  <si>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</si>
  <si>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</si>
  <si>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</si>
  <si>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</si>
  <si>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</si>
  <si>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</si>
  <si>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</si>
  <si>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</si>
  <si>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</si>
  <si>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</si>
  <si>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</si>
  <si>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</si>
  <si>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</si>
  <si>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</si>
  <si>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</si>
  <si>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</si>
  <si>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</si>
  <si>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</si>
  <si>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</si>
  <si>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</si>
  <si>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</si>
  <si>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</si>
  <si>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</si>
  <si>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</si>
  <si>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</si>
  <si>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</si>
  <si>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</si>
  <si>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</si>
  <si>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</si>
  <si>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</si>
  <si>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</si>
  <si>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</si>
  <si>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</si>
  <si>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</si>
  <si>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</si>
  <si>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</si>
  <si>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</si>
  <si>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</si>
  <si>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</si>
  <si>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</si>
  <si>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</si>
  <si>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</si>
  <si>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</si>
  <si>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</si>
  <si>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</si>
  <si>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</si>
  <si>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</si>
  <si>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</si>
  <si>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</si>
  <si>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</si>
  <si>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</si>
  <si>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</si>
  <si>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</si>
  <si>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</si>
  <si>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</si>
  <si>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</si>
  <si>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</si>
  <si>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</si>
  <si>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</si>
  <si>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</si>
  <si>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</si>
  <si>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</si>
  <si>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</si>
  <si>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</si>
  <si>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</si>
  <si>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</si>
  <si>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</si>
  <si>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</si>
  <si>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</si>
  <si>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</si>
  <si>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</si>
  <si>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</si>
  <si>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</si>
  <si>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</si>
  <si>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</si>
  <si>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</si>
  <si>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</si>
  <si>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</si>
  <si>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</si>
  <si>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</si>
  <si>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</si>
  <si>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</si>
  <si>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</si>
  <si>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</si>
  <si>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</si>
  <si>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</si>
  <si>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</si>
  <si>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</si>
  <si>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</si>
  <si>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</si>
  <si>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</si>
  <si>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</si>
  <si>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</si>
  <si>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</si>
  <si>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</si>
  <si>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</si>
  <si>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</si>
  <si>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</si>
  <si>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</si>
  <si>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</si>
  <si>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</si>
  <si>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</si>
  <si>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</si>
  <si>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</si>
  <si>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</si>
  <si>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</si>
  <si>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</si>
  <si>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</si>
  <si>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</si>
  <si>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</si>
  <si>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</si>
  <si>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</si>
  <si>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</si>
  <si>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</si>
  <si>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</si>
  <si>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</si>
  <si>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</si>
  <si>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</si>
  <si>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</si>
  <si>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</si>
  <si>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</si>
  <si>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</si>
  <si>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</si>
  <si>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</si>
  <si>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</si>
  <si>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</si>
  <si>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</si>
  <si>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</si>
  <si>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</si>
  <si>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</si>
  <si>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</si>
  <si>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</si>
  <si>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</si>
  <si>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</si>
  <si>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</si>
  <si>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</si>
  <si>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</si>
  <si>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</si>
  <si>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</si>
  <si>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</si>
  <si>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</si>
  <si>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</si>
  <si>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</si>
  <si>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</si>
  <si>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</si>
  <si>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</si>
  <si>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</si>
  <si>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</si>
  <si>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</si>
  <si>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</si>
  <si>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</si>
  <si>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</si>
  <si>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</si>
  <si>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</si>
  <si>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</si>
  <si>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</si>
  <si>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</si>
  <si>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</si>
  <si>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</si>
  <si>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</si>
  <si>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</si>
  <si>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</si>
  <si>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</si>
  <si>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</si>
  <si>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</si>
  <si>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</si>
  <si>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</si>
  <si>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</si>
  <si>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</si>
  <si>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</si>
  <si>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</si>
  <si>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</si>
  <si>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</si>
  <si>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</si>
  <si>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</si>
  <si>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</si>
  <si>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</si>
  <si>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</si>
  <si>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</si>
  <si>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</si>
  <si>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</si>
  <si>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</si>
  <si>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</si>
  <si>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</si>
  <si>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</si>
  <si>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</si>
  <si>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</si>
  <si>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</si>
  <si>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</si>
  <si>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</si>
  <si>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</si>
  <si>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</si>
  <si>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</si>
  <si>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</si>
  <si>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</si>
  <si>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</si>
  <si>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</si>
  <si>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</si>
  <si>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</si>
  <si>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</si>
  <si>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</si>
  <si>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</si>
  <si>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</si>
  <si>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</si>
  <si>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</si>
  <si>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</si>
  <si>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</si>
  <si>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</si>
  <si>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</si>
  <si>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</si>
  <si>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</si>
  <si>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</si>
  <si>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</si>
  <si>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</si>
  <si>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</si>
  <si>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</si>
  <si>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</si>
  <si>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</si>
  <si>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</si>
  <si>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</si>
  <si>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</si>
  <si>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</si>
  <si>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</si>
  <si>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</si>
  <si>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</si>
  <si>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</si>
  <si>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</si>
  <si>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</si>
  <si>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</si>
  <si>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</si>
  <si>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</si>
  <si>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</si>
  <si>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</si>
  <si>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</si>
  <si>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</si>
  <si>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</si>
  <si>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</si>
  <si>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</si>
  <si>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</si>
  <si>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</si>
  <si>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</si>
  <si>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</si>
  <si>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</si>
  <si>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</si>
  <si>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</si>
  <si>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</si>
  <si>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</si>
  <si>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</si>
  <si>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</si>
  <si>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</si>
  <si>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</si>
  <si>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</si>
  <si>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</si>
  <si>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</si>
  <si>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</si>
  <si>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</si>
  <si>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</si>
  <si>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</si>
  <si>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</si>
  <si>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</si>
  <si>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</si>
  <si>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</si>
  <si>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</si>
  <si>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</si>
  <si>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</si>
  <si>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</si>
  <si>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</si>
  <si>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</si>
  <si>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</si>
  <si>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</si>
  <si>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</si>
  <si>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</si>
  <si>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</si>
  <si>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</si>
  <si>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</si>
  <si>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</si>
  <si>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</si>
  <si>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</si>
  <si>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</si>
  <si>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</si>
  <si>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</si>
  <si>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</si>
  <si>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</si>
  <si>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</si>
  <si>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</si>
  <si>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</si>
  <si>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</si>
  <si>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</si>
  <si>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</si>
  <si>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</si>
  <si>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</si>
  <si>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</si>
  <si>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</si>
  <si>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</si>
  <si>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</si>
  <si>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</si>
  <si>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</si>
  <si>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</si>
  <si>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</si>
  <si>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</si>
  <si>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</si>
  <si>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</si>
  <si>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</si>
  <si>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</si>
  <si>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</si>
  <si>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</si>
  <si>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</si>
  <si>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</si>
  <si>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</si>
  <si>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</si>
  <si>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</si>
  <si>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</si>
  <si>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</si>
  <si>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</si>
  <si>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</si>
  <si>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</si>
  <si>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</si>
  <si>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</si>
  <si>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</si>
  <si>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</si>
  <si>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</si>
  <si>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</si>
  <si>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</si>
  <si>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</si>
  <si>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</si>
  <si>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</si>
  <si>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</si>
  <si>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</si>
  <si>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</si>
  <si>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</si>
  <si>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</si>
  <si>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</si>
  <si>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</si>
  <si>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</si>
  <si>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</si>
  <si>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</si>
  <si>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</si>
  <si>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</si>
  <si>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</si>
  <si>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</si>
  <si>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</si>
  <si>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</si>
  <si>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</si>
  <si>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</si>
  <si>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</si>
  <si>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</si>
  <si>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</si>
  <si>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</si>
  <si>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</si>
  <si>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</si>
  <si>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</si>
  <si>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</si>
  <si>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</si>
  <si>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</si>
  <si>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</si>
  <si>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</si>
  <si>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</si>
  <si>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</si>
  <si>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</si>
  <si>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</si>
  <si>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</si>
  <si>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</si>
  <si>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</si>
  <si>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</si>
  <si>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</si>
  <si>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</si>
  <si>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</si>
  <si>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</si>
  <si>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</si>
  <si>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</si>
  <si>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</si>
  <si>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</si>
  <si>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</si>
  <si>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</si>
  <si>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</si>
  <si>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</si>
  <si>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</si>
  <si>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</si>
  <si>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</si>
  <si>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</si>
  <si>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</si>
  <si>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</si>
  <si>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</si>
  <si>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</si>
  <si>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</si>
  <si>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</si>
  <si>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</si>
  <si>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</si>
  <si>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</si>
  <si>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</si>
  <si>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</si>
  <si>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</si>
  <si>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</si>
  <si>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</si>
  <si>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</si>
  <si>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</si>
  <si>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</si>
  <si>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</si>
  <si>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</si>
  <si>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</si>
  <si>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</si>
  <si>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</si>
  <si>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</si>
  <si>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</si>
  <si>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</si>
  <si>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</si>
  <si>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</si>
  <si>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</si>
  <si>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</si>
  <si>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</si>
  <si>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</si>
  <si>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</si>
  <si>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</si>
  <si>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</si>
  <si>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</si>
  <si>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</si>
  <si>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</si>
  <si>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</si>
  <si>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</si>
  <si>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</si>
  <si>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</si>
  <si>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</si>
  <si>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</si>
  <si>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</si>
  <si>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</si>
  <si>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</si>
  <si>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</si>
  <si>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</si>
  <si>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</si>
  <si>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</si>
  <si>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</si>
  <si>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</si>
  <si>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</si>
  <si>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</si>
  <si>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</si>
  <si>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</si>
  <si>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</si>
  <si>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</si>
  <si>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</si>
  <si>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</si>
  <si>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</si>
  <si>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</si>
  <si>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</si>
  <si>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</si>
  <si>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</si>
  <si>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</si>
  <si>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</si>
  <si>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</si>
  <si>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</si>
  <si>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</si>
  <si>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</si>
  <si>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</si>
  <si>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</si>
  <si>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</si>
  <si>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</si>
  <si>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</si>
  <si>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</si>
  <si>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</si>
  <si>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</si>
  <si>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</si>
  <si>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</si>
  <si>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</si>
  <si>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</si>
  <si>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</si>
  <si>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</si>
  <si>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</si>
  <si>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</si>
  <si>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</si>
  <si>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</si>
  <si>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</si>
  <si>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</si>
  <si>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</si>
  <si>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</si>
  <si>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</si>
  <si>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</si>
  <si>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</si>
  <si>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</si>
  <si>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</si>
  <si>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</si>
  <si>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</si>
  <si>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</si>
  <si>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</si>
  <si>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</si>
  <si>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</si>
  <si>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</si>
  <si>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</si>
  <si>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</si>
  <si>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</si>
  <si>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</si>
  <si>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</si>
  <si>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</si>
  <si>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</si>
  <si>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</si>
  <si>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</si>
  <si>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</si>
  <si>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</si>
  <si>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</si>
  <si>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</si>
  <si>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</si>
  <si>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</si>
  <si>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</si>
  <si>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</si>
  <si>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</si>
  <si>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</si>
  <si>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</si>
  <si>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</si>
  <si>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</si>
  <si>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</si>
  <si>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</si>
  <si>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</si>
  <si>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</si>
  <si>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</si>
  <si>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</si>
  <si>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</si>
  <si>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</si>
  <si>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</si>
  <si>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</si>
  <si>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</si>
  <si>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</si>
  <si>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</si>
  <si>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</si>
  <si>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</si>
  <si>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</si>
  <si>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</si>
  <si>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</si>
  <si>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</si>
  <si>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</si>
  <si>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</si>
  <si>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</si>
  <si>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</si>
  <si>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</si>
  <si>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</si>
  <si>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</si>
  <si>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</si>
  <si>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</si>
  <si>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</si>
  <si>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</si>
  <si>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</si>
  <si>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</si>
  <si>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</si>
  <si>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</si>
  <si>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</si>
  <si>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</si>
  <si>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</si>
  <si>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</si>
  <si>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</si>
  <si>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</si>
  <si>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</si>
  <si>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</si>
  <si>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</si>
  <si>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</si>
  <si>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</si>
  <si>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</si>
  <si>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</si>
  <si>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</si>
  <si>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</si>
  <si>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</si>
  <si>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</si>
  <si>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</si>
  <si>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</si>
  <si>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</si>
  <si>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</si>
  <si>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</si>
  <si>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</si>
  <si>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</si>
  <si>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</si>
  <si>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</si>
  <si>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</si>
  <si>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</si>
  <si>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</si>
  <si>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</si>
  <si>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</si>
  <si>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</si>
  <si>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</si>
  <si>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</si>
  <si>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</si>
  <si>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</si>
  <si>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</si>
  <si>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</si>
  <si>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</si>
  <si>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</si>
  <si>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</si>
  <si>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</si>
  <si>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</si>
  <si>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</si>
  <si>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</si>
  <si>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</si>
  <si>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</si>
  <si>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</si>
  <si>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</si>
  <si>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</si>
  <si>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</si>
  <si>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</si>
  <si>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</si>
  <si>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</si>
  <si>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</si>
  <si>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</si>
  <si>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</si>
  <si>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</si>
  <si>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</si>
  <si>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</si>
  <si>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</si>
  <si>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</si>
  <si>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</si>
  <si>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</si>
  <si>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</si>
  <si>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</si>
  <si>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</si>
  <si>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</si>
  <si>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</si>
  <si>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</si>
  <si>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</si>
  <si>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</si>
  <si>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</si>
  <si>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</si>
  <si>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</si>
  <si>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</si>
  <si>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</si>
  <si>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</si>
  <si>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</si>
  <si>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</si>
  <si>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</si>
  <si>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</si>
  <si>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</si>
  <si>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</si>
  <si>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</si>
  <si>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</si>
  <si>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</si>
  <si>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</si>
  <si>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</si>
  <si>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</si>
  <si>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</si>
  <si>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</si>
  <si>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</si>
  <si>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</si>
  <si>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</si>
  <si>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</si>
  <si>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</si>
  <si>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</si>
  <si>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</si>
  <si>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</si>
  <si>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</si>
  <si>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</si>
  <si>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</si>
  <si>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</si>
  <si>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</si>
  <si>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</si>
  <si>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</si>
  <si>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</si>
  <si>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</si>
  <si>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</si>
  <si>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</si>
  <si>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</si>
  <si>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</si>
  <si>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</si>
  <si>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</si>
  <si>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</si>
  <si>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</si>
  <si>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</si>
  <si>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</si>
  <si>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</si>
  <si>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</si>
  <si>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</si>
  <si>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</si>
  <si>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</si>
  <si>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</si>
  <si>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</si>
  <si>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</si>
  <si>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</si>
  <si>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</si>
  <si>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</si>
  <si>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</si>
  <si>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</si>
  <si>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</si>
  <si>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</si>
  <si>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</si>
  <si>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</si>
  <si>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</si>
  <si>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</si>
  <si>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</si>
  <si>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</si>
  <si>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</si>
  <si>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</si>
  <si>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</si>
  <si>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</si>
  <si>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</si>
  <si>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</si>
  <si>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</si>
  <si>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</si>
  <si>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</si>
  <si>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</si>
  <si>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</si>
  <si>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</si>
  <si>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</si>
  <si>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</si>
  <si>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</si>
  <si>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</si>
  <si>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</si>
  <si>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</si>
  <si>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</si>
  <si>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</si>
  <si>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</si>
  <si>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</si>
  <si>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</si>
  <si>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</si>
  <si>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</si>
  <si>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</si>
  <si>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</si>
  <si>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</si>
  <si>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</si>
  <si>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</si>
  <si>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</si>
  <si>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</si>
  <si>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</si>
  <si>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</si>
  <si>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</si>
  <si>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</si>
  <si>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</si>
  <si>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</si>
  <si>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</si>
  <si>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</si>
  <si>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</si>
  <si>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</si>
  <si>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</si>
  <si>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</si>
  <si>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</si>
  <si>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</si>
  <si>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</si>
  <si>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</si>
  <si>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</si>
  <si>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</si>
  <si>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</si>
  <si>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</si>
  <si>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</si>
  <si>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</si>
  <si>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</si>
  <si>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</si>
  <si>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</si>
  <si>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</si>
  <si>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</si>
  <si>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</si>
  <si>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</si>
  <si>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</si>
  <si>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</si>
  <si>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</si>
  <si>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</si>
  <si>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</si>
  <si>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</si>
  <si>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</si>
  <si>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</si>
  <si>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</si>
  <si>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</si>
  <si>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</si>
  <si>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</si>
  <si>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</si>
  <si>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</si>
  <si>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</si>
  <si>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</si>
  <si>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</si>
  <si>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</si>
  <si>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</si>
  <si>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</si>
  <si>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</si>
  <si>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</si>
  <si>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</si>
  <si>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</si>
  <si>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</si>
  <si>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</si>
  <si>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</si>
  <si>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</si>
  <si>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</si>
  <si>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</si>
  <si>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</si>
  <si>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</si>
  <si>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</si>
  <si>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</si>
  <si>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</si>
  <si>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</si>
  <si>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</si>
  <si>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</si>
  <si>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</si>
  <si>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</si>
  <si>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</si>
  <si>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</si>
  <si>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</si>
  <si>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</si>
  <si>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</si>
  <si>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</si>
  <si>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</si>
  <si>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</si>
  <si>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</si>
  <si>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</si>
  <si>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</si>
  <si>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</si>
  <si>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</si>
  <si>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</si>
  <si>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</si>
  <si>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</si>
  <si>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</si>
  <si>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</si>
  <si>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</si>
  <si>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</si>
  <si>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</si>
  <si>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</si>
  <si>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</si>
  <si>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</si>
  <si>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</si>
  <si>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</si>
  <si>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</si>
  <si>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</si>
  <si>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</si>
  <si>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</si>
  <si>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</si>
  <si>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</si>
  <si>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</si>
  <si>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</si>
  <si>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</si>
  <si>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</si>
  <si>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</si>
  <si>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</si>
  <si>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</si>
  <si>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</si>
  <si>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</si>
  <si>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</si>
  <si>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</si>
  <si>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</si>
  <si>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</si>
  <si>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</si>
  <si>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</si>
  <si>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</si>
  <si>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</si>
  <si>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</si>
  <si>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</si>
  <si>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</si>
  <si>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</si>
  <si>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</si>
  <si>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</si>
  <si>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</si>
  <si>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</si>
  <si>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</si>
  <si>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</si>
  <si>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</si>
  <si>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</si>
  <si>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</si>
  <si>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</si>
  <si>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</si>
  <si>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</si>
  <si>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</si>
  <si>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</si>
  <si>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</si>
  <si>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</si>
  <si>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</si>
  <si>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</si>
  <si>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</si>
  <si>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</si>
  <si>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</si>
  <si>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</si>
  <si>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</si>
  <si>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</si>
  <si>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</si>
  <si>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</si>
  <si>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</si>
  <si>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</si>
  <si>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</si>
  <si>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</si>
  <si>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</si>
  <si>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</si>
  <si>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</si>
  <si>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</si>
  <si>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</si>
  <si>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</si>
  <si>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</si>
  <si>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</si>
  <si>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</si>
  <si>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</si>
  <si>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</si>
  <si>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</si>
  <si>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</si>
  <si>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</si>
  <si>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</si>
  <si>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</si>
  <si>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</si>
  <si>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</si>
  <si>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</si>
  <si>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</si>
  <si>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</si>
  <si>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</si>
  <si>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</si>
  <si>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</si>
  <si>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</si>
  <si>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</si>
  <si>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</si>
  <si>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</si>
  <si>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</si>
  <si>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</si>
  <si>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</si>
  <si>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</si>
  <si>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</si>
  <si>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</si>
  <si>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</si>
  <si>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</si>
  <si>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</si>
  <si>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</si>
  <si>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</si>
  <si>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</si>
  <si>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</si>
  <si>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</si>
  <si>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</si>
  <si>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</si>
  <si>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</si>
  <si>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</si>
  <si>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</si>
  <si>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</si>
  <si>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</si>
  <si>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</si>
  <si>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</si>
  <si>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</si>
  <si>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</si>
  <si>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</si>
  <si>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</si>
  <si>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</si>
  <si>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</si>
  <si>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</si>
  <si>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</si>
  <si>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</si>
  <si>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</si>
  <si>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</si>
  <si>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</si>
  <si>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</si>
  <si>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</si>
  <si>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</si>
  <si>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</si>
  <si>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</si>
  <si>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</si>
  <si>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</si>
  <si>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</si>
  <si>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</si>
  <si>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</si>
  <si>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</si>
  <si>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</si>
  <si>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</si>
  <si>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</si>
  <si>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</si>
  <si>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</si>
  <si>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</si>
  <si>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</si>
  <si>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</si>
  <si>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</si>
  <si>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</si>
  <si>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</si>
  <si>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</si>
  <si>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</si>
  <si>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</si>
  <si>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</si>
  <si>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</si>
  <si>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</si>
  <si>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</si>
  <si>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</si>
  <si>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</si>
  <si>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</si>
  <si>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</si>
  <si>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</si>
  <si>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</si>
  <si>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</si>
  <si>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</si>
  <si>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</si>
  <si>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</si>
  <si>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</si>
  <si>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</si>
  <si>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</si>
  <si>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</si>
  <si>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</si>
  <si>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</si>
  <si>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</si>
  <si>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</si>
  <si>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</si>
  <si>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</si>
  <si>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</si>
  <si>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</si>
  <si>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</si>
  <si>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</si>
  <si>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</si>
  <si>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</si>
  <si>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</si>
  <si>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</si>
  <si>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</si>
  <si>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</si>
  <si>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</si>
  <si>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</si>
  <si>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</si>
  <si>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</si>
  <si>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</si>
  <si>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</si>
  <si>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</si>
  <si>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</si>
  <si>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</si>
  <si>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</si>
  <si>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</si>
  <si>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</si>
  <si>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</si>
  <si>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</si>
  <si>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</si>
  <si>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</si>
  <si>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</si>
  <si>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</si>
  <si>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</si>
  <si>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</si>
  <si>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</si>
  <si>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</si>
  <si>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</si>
  <si>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</si>
  <si>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</si>
  <si>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</si>
  <si>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</si>
  <si>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</si>
  <si>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</si>
  <si>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</si>
  <si>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</si>
  <si>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</si>
  <si>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</si>
  <si>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</si>
  <si>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</si>
  <si>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</si>
  <si>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</si>
  <si>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</si>
  <si>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</si>
  <si>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</si>
  <si>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</si>
  <si>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</si>
  <si>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</si>
  <si>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</si>
  <si>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</si>
  <si>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</si>
  <si>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</si>
  <si>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</si>
  <si>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</si>
  <si>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</si>
  <si>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</si>
  <si>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</si>
  <si>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</si>
  <si>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</si>
  <si>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</si>
  <si>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</si>
  <si>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</si>
  <si>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</si>
  <si>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</si>
  <si>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</si>
  <si>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</si>
  <si>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</si>
  <si>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</si>
  <si>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</si>
  <si>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</si>
  <si>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</si>
  <si>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</si>
  <si>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</si>
  <si>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</si>
  <si>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</si>
  <si>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</si>
  <si>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</si>
  <si>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</si>
  <si>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</si>
  <si>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</si>
  <si>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</si>
  <si>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</si>
  <si>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</si>
  <si>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</si>
  <si>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</si>
  <si>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</si>
  <si>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</si>
  <si>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</si>
  <si>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</si>
  <si>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</si>
  <si>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</si>
  <si>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</si>
  <si>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</si>
  <si>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</si>
  <si>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</si>
  <si>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</si>
  <si>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</si>
  <si>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</si>
  <si>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</si>
  <si>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</si>
  <si>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</si>
  <si>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</si>
  <si>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</si>
  <si>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</si>
  <si>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</si>
  <si>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</si>
  <si>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</si>
  <si>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</si>
  <si>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</si>
  <si>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</si>
  <si>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</si>
  <si>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</si>
  <si>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</si>
  <si>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</si>
  <si>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</si>
  <si>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</si>
  <si>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</si>
  <si>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</si>
  <si>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</si>
  <si>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</si>
  <si>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</si>
  <si>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</si>
  <si>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</si>
  <si>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</si>
  <si>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</si>
  <si>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</si>
  <si>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</si>
  <si>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</si>
  <si>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</si>
  <si>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</si>
  <si>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</si>
  <si>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</si>
  <si>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</si>
  <si>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</si>
  <si>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</si>
  <si>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</si>
  <si>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</si>
  <si>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</si>
  <si>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</si>
  <si>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</si>
  <si>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</si>
  <si>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</si>
  <si>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</si>
  <si>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</si>
  <si>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</si>
  <si>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</si>
  <si>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</si>
  <si>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</si>
  <si>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</si>
  <si>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</si>
  <si>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</si>
  <si>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</si>
  <si>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</si>
  <si>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</si>
  <si>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</si>
  <si>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</si>
  <si>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</si>
  <si>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</si>
  <si>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</si>
  <si>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</si>
  <si>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</si>
  <si>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</si>
  <si>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</si>
  <si>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</si>
  <si>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</si>
  <si>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</si>
  <si>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</si>
  <si>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</si>
  <si>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</si>
  <si>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</si>
  <si>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</si>
  <si>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</si>
  <si>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</si>
  <si>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</si>
  <si>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</si>
  <si>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</si>
  <si>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</si>
  <si>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</si>
  <si>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</si>
  <si>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</si>
  <si>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</si>
  <si>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</si>
  <si>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</si>
  <si>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</si>
  <si>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</si>
  <si>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</si>
  <si>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</si>
  <si>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</si>
  <si>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</si>
  <si>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</si>
  <si>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</si>
  <si>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</si>
  <si>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</si>
  <si>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</si>
  <si>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</si>
  <si>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</si>
  <si>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</si>
  <si>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</si>
  <si>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</si>
  <si>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</si>
  <si>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</si>
  <si>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</si>
  <si>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</si>
  <si>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</si>
  <si>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</si>
  <si>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</si>
  <si>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</si>
  <si>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</si>
  <si>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</si>
  <si>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</si>
  <si>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</si>
  <si>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</si>
  <si>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</si>
  <si>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</si>
  <si>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</si>
  <si>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</si>
  <si>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</si>
  <si>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</si>
  <si>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</si>
  <si>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</si>
  <si>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</si>
  <si>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</si>
  <si>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</si>
  <si>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</si>
  <si>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</si>
  <si>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</si>
  <si>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</si>
  <si>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</si>
  <si>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</si>
  <si>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</si>
  <si>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</si>
  <si>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</si>
  <si>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</si>
  <si>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</si>
  <si>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</si>
  <si>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</si>
  <si>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</si>
  <si>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</si>
  <si>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</si>
  <si>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</si>
  <si>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</si>
  <si>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</si>
  <si>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</si>
  <si>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</si>
  <si>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</si>
  <si>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</si>
  <si>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</si>
  <si>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</si>
  <si>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</si>
  <si>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</si>
  <si>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</si>
  <si>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</si>
  <si>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</si>
  <si>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</si>
  <si>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</si>
  <si>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</si>
  <si>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</si>
  <si>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</si>
  <si>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</si>
  <si>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</si>
  <si>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</si>
  <si>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</si>
  <si>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</si>
  <si>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</si>
  <si>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</si>
  <si>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</si>
  <si>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</si>
  <si>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</si>
  <si>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</si>
  <si>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</si>
  <si>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</si>
  <si>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</si>
  <si>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</si>
  <si>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</si>
  <si>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</si>
  <si>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</si>
  <si>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</si>
  <si>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</si>
  <si>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</si>
  <si>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</si>
  <si>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</si>
  <si>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</si>
  <si>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</si>
  <si>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</si>
  <si>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</si>
  <si>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</si>
  <si>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</si>
  <si>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</si>
  <si>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</si>
  <si>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</si>
  <si>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</si>
  <si>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</si>
  <si>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</si>
  <si>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</si>
  <si>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</si>
  <si>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</si>
  <si>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</si>
  <si>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</si>
  <si>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</si>
  <si>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</si>
  <si>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</si>
  <si>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</si>
  <si>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</si>
  <si>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</si>
  <si>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</si>
  <si>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</si>
  <si>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</si>
  <si>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</si>
  <si>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</si>
  <si>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</si>
  <si>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</si>
  <si>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</si>
  <si>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</si>
  <si>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</si>
  <si>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</si>
  <si>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</si>
  <si>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</si>
  <si>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</si>
  <si>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</si>
  <si>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</si>
  <si>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</si>
  <si>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</si>
  <si>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</si>
  <si>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</si>
  <si>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</si>
  <si>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</si>
  <si>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</si>
  <si>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</si>
  <si>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</si>
  <si>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</si>
  <si>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</si>
  <si>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</si>
  <si>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</si>
  <si>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</si>
  <si>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</si>
  <si>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</si>
  <si>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</si>
  <si>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</si>
  <si>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</si>
  <si>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</si>
  <si>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</si>
  <si>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</si>
  <si>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</si>
  <si>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</si>
  <si>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</si>
  <si>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</si>
  <si>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</si>
  <si>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</si>
  <si>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</si>
  <si>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</si>
  <si>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</si>
  <si>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</si>
  <si>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</si>
  <si>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</si>
  <si>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</si>
  <si>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</si>
  <si>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</si>
  <si>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</si>
  <si>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</si>
  <si>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</si>
  <si>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</si>
  <si>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</si>
  <si>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</si>
  <si>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</si>
  <si>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</si>
  <si>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</si>
  <si>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</si>
  <si>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</si>
  <si>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</si>
  <si>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</si>
  <si>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</si>
  <si>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</si>
  <si>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</si>
  <si>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</si>
  <si>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</si>
  <si>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</si>
  <si>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</si>
  <si>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</si>
  <si>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</si>
  <si>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</si>
  <si>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</si>
  <si>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</si>
  <si>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</si>
  <si>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</si>
  <si>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</si>
  <si>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</si>
  <si>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</si>
  <si>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</si>
  <si>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</si>
  <si>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</si>
  <si>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</si>
  <si>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</si>
  <si>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</si>
  <si>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</si>
  <si>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</si>
  <si>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</si>
  <si>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</si>
  <si>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</si>
  <si>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</si>
  <si>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</si>
  <si>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</si>
  <si>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</si>
  <si>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</si>
  <si>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</si>
  <si>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</si>
  <si>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</si>
  <si>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</si>
  <si>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</si>
  <si>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</si>
  <si>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</si>
  <si>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</si>
  <si>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</si>
  <si>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</si>
  <si>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</si>
  <si>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</si>
  <si>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</si>
  <si>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</si>
  <si>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</si>
  <si>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</si>
  <si>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</si>
  <si>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</si>
  <si>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</si>
  <si>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</si>
  <si>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</si>
  <si>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</si>
  <si>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</si>
  <si>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</si>
  <si>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</si>
  <si>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</si>
  <si>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</si>
  <si>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</si>
  <si>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</si>
  <si>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</si>
  <si>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</si>
  <si>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</si>
  <si>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</si>
  <si>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</si>
  <si>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</si>
  <si>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</si>
  <si>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</si>
  <si>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</si>
  <si>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</si>
  <si>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</si>
  <si>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</si>
  <si>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</si>
  <si>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</si>
  <si>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</si>
  <si>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</si>
  <si>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</si>
  <si>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</si>
  <si>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</si>
  <si>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</si>
  <si>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</si>
  <si>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</si>
  <si>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</si>
  <si>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</si>
  <si>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</si>
  <si>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</si>
  <si>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</si>
  <si>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</si>
  <si>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</si>
  <si>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</si>
  <si>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</si>
  <si>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</si>
  <si>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</si>
  <si>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</si>
  <si>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</si>
  <si>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</si>
  <si>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</si>
  <si>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</si>
  <si>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</si>
  <si>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</si>
  <si>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</si>
  <si>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</si>
  <si>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</si>
  <si>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</si>
  <si>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</si>
  <si>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</si>
  <si>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</si>
  <si>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</si>
  <si>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</si>
  <si>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</si>
  <si>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</si>
  <si>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</si>
  <si>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</si>
  <si>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</si>
  <si>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</si>
  <si>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</si>
  <si>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</si>
  <si>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</si>
  <si>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</si>
  <si>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</si>
  <si>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</si>
  <si>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</si>
  <si>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</si>
  <si>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</si>
  <si>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</si>
  <si>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</si>
  <si>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</si>
  <si>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</si>
  <si>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</si>
  <si>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</si>
  <si>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</si>
  <si>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</si>
  <si>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</si>
  <si>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</si>
  <si>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</si>
  <si>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</si>
  <si>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</si>
  <si>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</si>
  <si>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</si>
  <si>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</si>
  <si>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</si>
  <si>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</si>
  <si>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</si>
  <si>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</si>
  <si>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</si>
  <si>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</si>
  <si>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</si>
  <si>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</si>
  <si>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</si>
  <si>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</si>
  <si>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</si>
  <si>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</si>
  <si>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</si>
  <si>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</si>
  <si>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</si>
  <si>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</si>
  <si>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</si>
  <si>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</si>
  <si>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</si>
  <si>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</si>
  <si>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</si>
  <si>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</si>
  <si>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</si>
  <si>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</si>
  <si>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</si>
  <si>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</si>
  <si>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</si>
  <si>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</si>
  <si>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</si>
  <si>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</si>
  <si>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</si>
  <si>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</si>
  <si>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</si>
  <si>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</si>
  <si>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</si>
  <si>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</si>
  <si>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</si>
  <si>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</si>
  <si>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</si>
  <si>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</si>
  <si>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</si>
  <si>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</si>
  <si>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</si>
  <si>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</si>
  <si>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</si>
  <si>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</si>
  <si>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</si>
  <si>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</si>
  <si>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</si>
  <si>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</si>
  <si>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</si>
  <si>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</si>
  <si>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</si>
  <si>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</si>
  <si>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</si>
  <si>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</si>
  <si>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</si>
  <si>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</si>
  <si>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</si>
  <si>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</si>
  <si>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</si>
  <si>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</si>
  <si>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</si>
  <si>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</si>
  <si>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</si>
  <si>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</si>
  <si>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</si>
  <si>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</si>
  <si>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</si>
  <si>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</si>
  <si>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</si>
  <si>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</si>
  <si>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</si>
  <si>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</si>
  <si>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</si>
  <si>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</si>
  <si>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</si>
  <si>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</si>
  <si>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</si>
  <si>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</si>
  <si>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</si>
  <si>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</si>
  <si>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</si>
  <si>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</si>
  <si>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</si>
  <si>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</si>
  <si>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</si>
  <si>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</si>
  <si>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</si>
  <si>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</si>
  <si>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</si>
  <si>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</si>
  <si>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</si>
  <si>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</si>
  <si>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</si>
  <si>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</si>
  <si>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</si>
  <si>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</si>
  <si>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</si>
  <si>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</si>
  <si>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</si>
  <si>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100%</t>
  </si>
  <si>
    <t>Sparkle Power Inc.</t>
  </si>
  <si>
    <t>48502 Kato Road, Fremont CA 94538, USA.</t>
  </si>
  <si>
    <t>Sean Liu</t>
  </si>
  <si>
    <t>Seanl@sparklepower.com</t>
  </si>
  <si>
    <t>408-519-8888 ext 141</t>
  </si>
  <si>
    <t>Engineer Manager</t>
  </si>
  <si>
    <t>408-519-8888 ext :141</t>
  </si>
  <si>
    <t>http://www.sparklepower.com/suppCMRT.html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</si>
</sst>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細明體"/>
      <family val="3"/>
      <charset val="136"/>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5">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8" fillId="33" borderId="58" xfId="487" applyNumberFormat="1" applyFill="1" applyBorder="1" applyAlignment="1" applyProtection="1">
      <alignment horizontal="left" vertical="center" wrapText="1"/>
      <protection locked="0" hidden="1"/>
    </xf>
    <xf numFmtId="49" fontId="101" fillId="33" borderId="10" xfId="0" applyNumberFormat="1" applyFont="1" applyFill="1" applyBorder="1" applyAlignment="1" applyProtection="1">
      <alignment horizontal="left" vertical="center" wrapText="1"/>
      <protection locked="0" hidden="1"/>
    </xf>
    <xf numFmtId="49" fontId="101" fillId="33" borderId="37" xfId="0" applyNumberFormat="1" applyFont="1" applyFill="1" applyBorder="1" applyAlignment="1" applyProtection="1">
      <alignment horizontal="left" vertical="center" wrapText="1"/>
      <protection locked="0" hidden="1"/>
    </xf>
    <xf numFmtId="0" fontId="83" fillId="33" borderId="58" xfId="487" applyFont="1" applyFill="1"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1">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3</xdr:row>
      <xdr:rowOff>396990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Seanl@sparklepower.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www.sparklepower.com/suppCMRT.html" TargetMode="External"/><Relationship Id="rId5" Type="http://schemas.openxmlformats.org/officeDocument/2006/relationships/hyperlink" Target="http://www.sparklepower.com/suppCMRT.html" TargetMode="External"/><Relationship Id="rId10" Type="http://schemas.openxmlformats.org/officeDocument/2006/relationships/comments" Target="../comments1.xml"/><Relationship Id="rId4" Type="http://schemas.openxmlformats.org/officeDocument/2006/relationships/hyperlink" Target="mailto:Seanl@sparklepower.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1"/>
      <c r="B2" s="5" t="s">
        <v>837</v>
      </c>
      <c r="C2" s="3"/>
      <c r="D2" s="175"/>
      <c r="E2" s="3"/>
      <c r="F2" s="3"/>
      <c r="G2" s="25"/>
    </row>
    <row r="3" spans="1:7">
      <c r="A3" s="301"/>
      <c r="B3" s="3" t="s">
        <v>829</v>
      </c>
      <c r="C3" s="5"/>
      <c r="D3" s="176"/>
      <c r="E3" s="3"/>
      <c r="F3" s="5"/>
      <c r="G3" s="25"/>
    </row>
    <row r="4" spans="1:7" ht="15">
      <c r="A4" s="301"/>
      <c r="B4" s="30" t="s">
        <v>839</v>
      </c>
      <c r="C4" s="6"/>
      <c r="D4" s="177"/>
      <c r="E4" s="3"/>
      <c r="F4" s="6"/>
      <c r="G4" s="25"/>
    </row>
    <row r="5" spans="1:7" ht="13.2">
      <c r="A5" s="301"/>
      <c r="B5" s="29" t="s">
        <v>1030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840</v>
      </c>
      <c r="C9" s="304"/>
      <c r="D9" s="304"/>
      <c r="E9" s="304"/>
      <c r="F9" s="304"/>
      <c r="G9" s="25"/>
    </row>
    <row r="10" spans="1:7" ht="27" customHeight="1">
      <c r="A10" s="301"/>
      <c r="B10" s="305" t="s">
        <v>434</v>
      </c>
      <c r="C10" s="305"/>
      <c r="D10" s="305"/>
      <c r="E10" s="305"/>
      <c r="F10" s="305"/>
      <c r="G10" s="25"/>
    </row>
    <row r="11" spans="1:7" ht="27" customHeight="1">
      <c r="A11" s="301"/>
      <c r="B11" s="306"/>
      <c r="C11" s="306"/>
      <c r="D11" s="306"/>
      <c r="E11" s="306"/>
      <c r="F11" s="306"/>
      <c r="G11" s="25"/>
    </row>
    <row r="12" spans="1:7">
      <c r="A12" s="301"/>
      <c r="B12" s="31" t="s">
        <v>838</v>
      </c>
      <c r="C12" s="32" t="s">
        <v>841</v>
      </c>
      <c r="D12" s="179" t="s">
        <v>842</v>
      </c>
      <c r="E12" s="32" t="s">
        <v>608</v>
      </c>
      <c r="F12" s="32" t="s">
        <v>609</v>
      </c>
      <c r="G12" s="25"/>
    </row>
    <row r="13" spans="1:7" ht="20.399999999999999">
      <c r="A13" s="301"/>
      <c r="B13" s="2">
        <v>1</v>
      </c>
      <c r="C13" s="27" t="s">
        <v>1078</v>
      </c>
      <c r="D13" s="28" t="s">
        <v>866</v>
      </c>
      <c r="E13" s="163" t="s">
        <v>843</v>
      </c>
      <c r="F13" s="163"/>
      <c r="G13" s="25"/>
    </row>
    <row r="14" spans="1:7" ht="30.6">
      <c r="A14" s="301"/>
      <c r="B14" s="2">
        <v>2</v>
      </c>
      <c r="C14" s="27" t="s">
        <v>1078</v>
      </c>
      <c r="D14" s="28" t="s">
        <v>1015</v>
      </c>
      <c r="E14" s="163" t="s">
        <v>526</v>
      </c>
      <c r="F14" s="163" t="s">
        <v>527</v>
      </c>
      <c r="G14" s="25"/>
    </row>
    <row r="15" spans="1:7" ht="89.1" customHeight="1">
      <c r="A15" s="301"/>
      <c r="B15" s="307">
        <v>2.0099999999999998</v>
      </c>
      <c r="C15" s="298" t="s">
        <v>1078</v>
      </c>
      <c r="D15" s="310" t="s">
        <v>2229</v>
      </c>
      <c r="E15" s="164" t="s">
        <v>610</v>
      </c>
      <c r="F15" s="164" t="s">
        <v>613</v>
      </c>
      <c r="G15" s="25"/>
    </row>
    <row r="16" spans="1:7" ht="99" customHeight="1">
      <c r="A16" s="301"/>
      <c r="B16" s="308"/>
      <c r="C16" s="299"/>
      <c r="D16" s="311"/>
      <c r="E16" s="165"/>
      <c r="F16" s="165" t="s">
        <v>611</v>
      </c>
      <c r="G16" s="25"/>
    </row>
    <row r="17" spans="1:7" ht="63" customHeight="1">
      <c r="A17" s="301"/>
      <c r="B17" s="309"/>
      <c r="C17" s="300"/>
      <c r="D17" s="312"/>
      <c r="E17" s="27"/>
      <c r="F17" s="27" t="s">
        <v>612</v>
      </c>
      <c r="G17" s="25"/>
    </row>
    <row r="18" spans="1:7" ht="117" customHeight="1">
      <c r="A18" s="301"/>
      <c r="B18" s="307">
        <v>2.02</v>
      </c>
      <c r="C18" s="298" t="s">
        <v>1078</v>
      </c>
      <c r="D18" s="310" t="s">
        <v>2230</v>
      </c>
      <c r="E18" s="164" t="s">
        <v>435</v>
      </c>
      <c r="F18" s="164" t="s">
        <v>521</v>
      </c>
      <c r="G18" s="25"/>
    </row>
    <row r="19" spans="1:7" ht="71.099999999999994" customHeight="1">
      <c r="A19" s="301"/>
      <c r="B19" s="308"/>
      <c r="C19" s="299"/>
      <c r="D19" s="311"/>
      <c r="E19" s="165" t="s">
        <v>525</v>
      </c>
      <c r="F19" s="165" t="s">
        <v>436</v>
      </c>
      <c r="G19" s="25"/>
    </row>
    <row r="20" spans="1:7" ht="90.75" customHeight="1">
      <c r="A20" s="301"/>
      <c r="B20" s="308"/>
      <c r="C20" s="299"/>
      <c r="D20" s="311"/>
      <c r="E20" s="165"/>
      <c r="F20" s="165" t="s">
        <v>615</v>
      </c>
      <c r="G20" s="25"/>
    </row>
    <row r="21" spans="1:7" ht="74.25" customHeight="1">
      <c r="A21" s="301"/>
      <c r="B21" s="309"/>
      <c r="C21" s="300"/>
      <c r="D21" s="312"/>
      <c r="E21" s="27"/>
      <c r="F21" s="27" t="s">
        <v>614</v>
      </c>
      <c r="G21" s="25"/>
    </row>
    <row r="22" spans="1:7" ht="90" customHeight="1">
      <c r="A22" s="301"/>
      <c r="B22" s="292">
        <v>2.0299999999999998</v>
      </c>
      <c r="C22" s="292" t="s">
        <v>812</v>
      </c>
      <c r="D22" s="295" t="s">
        <v>2231</v>
      </c>
      <c r="E22" s="298" t="s">
        <v>433</v>
      </c>
      <c r="F22" s="164" t="s">
        <v>456</v>
      </c>
      <c r="G22" s="25"/>
    </row>
    <row r="23" spans="1:7" ht="109.5" customHeight="1">
      <c r="A23" s="301"/>
      <c r="B23" s="293"/>
      <c r="C23" s="293"/>
      <c r="D23" s="296"/>
      <c r="E23" s="299"/>
      <c r="F23" s="165" t="s">
        <v>813</v>
      </c>
      <c r="G23" s="25"/>
    </row>
    <row r="24" spans="1:7" ht="74.25" customHeight="1">
      <c r="A24" s="301"/>
      <c r="B24" s="294"/>
      <c r="C24" s="294"/>
      <c r="D24" s="297"/>
      <c r="E24" s="300"/>
      <c r="F24" s="27" t="s">
        <v>432</v>
      </c>
      <c r="G24" s="25"/>
    </row>
    <row r="25" spans="1:7" ht="72" customHeight="1">
      <c r="A25" s="301"/>
      <c r="B25" s="2" t="s">
        <v>454</v>
      </c>
      <c r="C25" s="27" t="s">
        <v>455</v>
      </c>
      <c r="D25" s="28" t="s">
        <v>2232</v>
      </c>
      <c r="E25" s="27" t="s">
        <v>2227</v>
      </c>
      <c r="F25" s="27" t="s">
        <v>457</v>
      </c>
      <c r="G25" s="25"/>
    </row>
    <row r="26" spans="1:7" ht="98.1" customHeight="1">
      <c r="A26" s="301"/>
      <c r="B26" s="313">
        <v>3</v>
      </c>
      <c r="C26" s="307" t="s">
        <v>67</v>
      </c>
      <c r="D26" s="310" t="s">
        <v>2233</v>
      </c>
      <c r="E26" s="298" t="s">
        <v>0</v>
      </c>
      <c r="F26" s="164" t="s">
        <v>61</v>
      </c>
      <c r="G26" s="25"/>
    </row>
    <row r="27" spans="1:7" ht="90" customHeight="1">
      <c r="A27" s="301"/>
      <c r="B27" s="314"/>
      <c r="C27" s="308"/>
      <c r="D27" s="311"/>
      <c r="E27" s="299"/>
      <c r="F27" s="165" t="s">
        <v>56</v>
      </c>
      <c r="G27" s="25"/>
    </row>
    <row r="28" spans="1:7" ht="19.350000000000001" customHeight="1">
      <c r="A28" s="301"/>
      <c r="B28" s="314"/>
      <c r="C28" s="308"/>
      <c r="D28" s="311"/>
      <c r="E28" s="299"/>
      <c r="F28" s="165" t="s">
        <v>57</v>
      </c>
      <c r="G28" s="25"/>
    </row>
    <row r="29" spans="1:7" ht="74.55" customHeight="1">
      <c r="A29" s="301"/>
      <c r="B29" s="314"/>
      <c r="C29" s="308"/>
      <c r="D29" s="311"/>
      <c r="E29" s="299"/>
      <c r="F29" s="165" t="s">
        <v>58</v>
      </c>
      <c r="G29" s="25"/>
    </row>
    <row r="30" spans="1:7" ht="62.55" customHeight="1">
      <c r="A30" s="301"/>
      <c r="B30" s="314"/>
      <c r="C30" s="308"/>
      <c r="D30" s="311"/>
      <c r="E30" s="299"/>
      <c r="F30" s="165" t="s">
        <v>59</v>
      </c>
      <c r="G30" s="25"/>
    </row>
    <row r="31" spans="1:7" ht="81" customHeight="1">
      <c r="A31" s="301"/>
      <c r="B31" s="314"/>
      <c r="C31" s="308"/>
      <c r="D31" s="311"/>
      <c r="E31" s="299"/>
      <c r="F31" s="165" t="s">
        <v>60</v>
      </c>
      <c r="G31" s="25"/>
    </row>
    <row r="32" spans="1:7" ht="48.75" customHeight="1">
      <c r="A32" s="301"/>
      <c r="B32" s="314"/>
      <c r="C32" s="308"/>
      <c r="D32" s="311"/>
      <c r="E32" s="299"/>
      <c r="F32" s="165" t="s">
        <v>63</v>
      </c>
      <c r="G32" s="25"/>
    </row>
    <row r="33" spans="1:7" ht="98.55" customHeight="1">
      <c r="A33" s="301"/>
      <c r="B33" s="314"/>
      <c r="C33" s="308"/>
      <c r="D33" s="311"/>
      <c r="E33" s="299"/>
      <c r="F33" s="165" t="s">
        <v>62</v>
      </c>
      <c r="G33" s="25"/>
    </row>
    <row r="34" spans="1:7" ht="89.1" customHeight="1">
      <c r="A34" s="301"/>
      <c r="B34" s="314"/>
      <c r="C34" s="308"/>
      <c r="D34" s="311"/>
      <c r="E34" s="299"/>
      <c r="F34" s="165" t="s">
        <v>64</v>
      </c>
      <c r="G34" s="25"/>
    </row>
    <row r="35" spans="1:7" ht="29.1" customHeight="1">
      <c r="A35" s="301"/>
      <c r="B35" s="314"/>
      <c r="C35" s="308"/>
      <c r="D35" s="311"/>
      <c r="E35" s="299"/>
      <c r="F35" s="165" t="s">
        <v>65</v>
      </c>
      <c r="G35" s="25"/>
    </row>
    <row r="36" spans="1:7" ht="112.2">
      <c r="A36" s="301"/>
      <c r="B36" s="315"/>
      <c r="C36" s="309"/>
      <c r="D36" s="312"/>
      <c r="E36" s="300"/>
      <c r="F36" s="166" t="s">
        <v>66</v>
      </c>
      <c r="G36" s="25"/>
    </row>
    <row r="37" spans="1:7" ht="102">
      <c r="A37" s="301"/>
      <c r="B37" s="141">
        <v>3.01</v>
      </c>
      <c r="C37" s="142" t="s">
        <v>67</v>
      </c>
      <c r="D37" s="28" t="s">
        <v>2234</v>
      </c>
      <c r="E37" s="167" t="s">
        <v>1316</v>
      </c>
      <c r="F37" s="168" t="s">
        <v>1420</v>
      </c>
      <c r="G37" s="25"/>
    </row>
    <row r="38" spans="1:7" ht="81.599999999999994">
      <c r="A38" s="301"/>
      <c r="B38" s="141">
        <v>3.02</v>
      </c>
      <c r="C38" s="142" t="s">
        <v>1349</v>
      </c>
      <c r="D38" s="28" t="s">
        <v>2235</v>
      </c>
      <c r="E38" s="167" t="s">
        <v>1364</v>
      </c>
      <c r="F38" s="168" t="s">
        <v>1421</v>
      </c>
      <c r="G38" s="25"/>
    </row>
    <row r="39" spans="1:7" ht="81.599999999999994">
      <c r="A39" s="301"/>
      <c r="B39" s="150">
        <v>4</v>
      </c>
      <c r="C39" s="149" t="s">
        <v>1517</v>
      </c>
      <c r="D39" s="28" t="s">
        <v>2236</v>
      </c>
      <c r="E39" s="27" t="s">
        <v>2182</v>
      </c>
      <c r="F39" s="27" t="s">
        <v>1518</v>
      </c>
      <c r="G39" s="25"/>
    </row>
    <row r="40" spans="1:7" ht="40.799999999999997">
      <c r="A40" s="301"/>
      <c r="B40" s="141">
        <v>4.01</v>
      </c>
      <c r="C40" s="149" t="s">
        <v>1517</v>
      </c>
      <c r="D40" s="28" t="s">
        <v>2238</v>
      </c>
      <c r="E40" s="27" t="s">
        <v>2194</v>
      </c>
      <c r="F40" s="27" t="s">
        <v>2198</v>
      </c>
      <c r="G40" s="25"/>
    </row>
    <row r="41" spans="1:7" ht="40.799999999999997">
      <c r="A41" s="301"/>
      <c r="B41" s="141" t="s">
        <v>2225</v>
      </c>
      <c r="C41" s="149" t="s">
        <v>1517</v>
      </c>
      <c r="D41" s="28" t="s">
        <v>2237</v>
      </c>
      <c r="E41" s="27" t="s">
        <v>2228</v>
      </c>
      <c r="F41" s="27" t="s">
        <v>2226</v>
      </c>
      <c r="G41" s="25"/>
    </row>
    <row r="42" spans="1:7" ht="40.799999999999997">
      <c r="A42" s="301"/>
      <c r="B42" s="141" t="s">
        <v>2259</v>
      </c>
      <c r="C42" s="149" t="s">
        <v>1517</v>
      </c>
      <c r="D42" s="28" t="s">
        <v>2264</v>
      </c>
      <c r="E42" s="27" t="s">
        <v>2227</v>
      </c>
      <c r="F42" s="27" t="s">
        <v>2260</v>
      </c>
      <c r="G42" s="25"/>
    </row>
    <row r="43" spans="1:7" ht="112.2">
      <c r="A43" s="301"/>
      <c r="B43" s="160">
        <v>4.0999999999999996</v>
      </c>
      <c r="C43" s="149" t="s">
        <v>2263</v>
      </c>
      <c r="D43" s="161">
        <v>42867</v>
      </c>
      <c r="E43" s="169" t="s">
        <v>2266</v>
      </c>
      <c r="F43" s="27" t="s">
        <v>2265</v>
      </c>
      <c r="G43" s="25"/>
    </row>
    <row r="44" spans="1:7" ht="71.400000000000006">
      <c r="A44" s="301"/>
      <c r="B44" s="160">
        <v>4.2</v>
      </c>
      <c r="C44" s="149" t="s">
        <v>2263</v>
      </c>
      <c r="D44" s="161">
        <v>42704</v>
      </c>
      <c r="E44" s="169" t="s">
        <v>2462</v>
      </c>
      <c r="F44" s="27" t="s">
        <v>2437</v>
      </c>
      <c r="G44" s="25"/>
    </row>
    <row r="45" spans="1:7" ht="132.6">
      <c r="A45" s="301"/>
      <c r="B45" s="202">
        <v>5</v>
      </c>
      <c r="C45" s="149" t="s">
        <v>2263</v>
      </c>
      <c r="D45" s="161">
        <v>42867</v>
      </c>
      <c r="E45" s="169" t="s">
        <v>12683</v>
      </c>
      <c r="F45" s="27" t="s">
        <v>12405</v>
      </c>
      <c r="G45" s="25"/>
    </row>
    <row r="46" spans="1:7" ht="30.6">
      <c r="A46" s="301"/>
      <c r="B46" s="160">
        <v>5.01</v>
      </c>
      <c r="C46" s="149" t="s">
        <v>2263</v>
      </c>
      <c r="D46" s="161">
        <v>42907</v>
      </c>
      <c r="E46" s="169" t="s">
        <v>15484</v>
      </c>
      <c r="F46" s="27" t="s">
        <v>12405</v>
      </c>
      <c r="G46" s="25"/>
    </row>
    <row r="47" spans="1:7" ht="61.2">
      <c r="A47" s="301"/>
      <c r="B47" s="160">
        <v>5.0999999999999996</v>
      </c>
      <c r="C47" s="149" t="s">
        <v>2263</v>
      </c>
      <c r="D47" s="161">
        <v>43070</v>
      </c>
      <c r="E47" s="169" t="s">
        <v>12893</v>
      </c>
      <c r="F47" s="27" t="s">
        <v>12894</v>
      </c>
      <c r="G47" s="25"/>
    </row>
    <row r="48" spans="1:7" ht="51">
      <c r="A48" s="301"/>
      <c r="B48" s="160">
        <v>5.1100000000000003</v>
      </c>
      <c r="C48" s="149" t="s">
        <v>13129</v>
      </c>
      <c r="D48" s="161">
        <v>43217</v>
      </c>
      <c r="E48" s="169" t="s">
        <v>13255</v>
      </c>
      <c r="F48" s="27" t="s">
        <v>13163</v>
      </c>
      <c r="G48" s="25"/>
    </row>
    <row r="49" spans="1:7" ht="51">
      <c r="A49" s="301"/>
      <c r="B49" s="160">
        <v>5.12</v>
      </c>
      <c r="C49" s="149" t="s">
        <v>13129</v>
      </c>
      <c r="D49" s="161">
        <v>43581</v>
      </c>
      <c r="E49" s="169" t="s">
        <v>13255</v>
      </c>
      <c r="F49" s="27" t="s">
        <v>13807</v>
      </c>
      <c r="G49" s="25"/>
    </row>
    <row r="50" spans="1:7" ht="71.400000000000006">
      <c r="A50" s="301"/>
      <c r="B50" s="202">
        <v>6</v>
      </c>
      <c r="C50" s="149" t="s">
        <v>13129</v>
      </c>
      <c r="D50" s="161">
        <v>43964</v>
      </c>
      <c r="E50" s="169" t="s">
        <v>14020</v>
      </c>
      <c r="F50" s="27" t="s">
        <v>13810</v>
      </c>
      <c r="G50" s="25"/>
    </row>
    <row r="51" spans="1:7" ht="40.799999999999997">
      <c r="A51" s="301"/>
      <c r="B51" s="160">
        <v>6.01</v>
      </c>
      <c r="C51" s="149" t="s">
        <v>13129</v>
      </c>
      <c r="D51" s="161">
        <v>43970</v>
      </c>
      <c r="E51" s="169" t="s">
        <v>15485</v>
      </c>
      <c r="F51" s="169" t="s">
        <v>13810</v>
      </c>
      <c r="G51" s="25"/>
    </row>
    <row r="52" spans="1:7" ht="40.799999999999997">
      <c r="A52" s="301"/>
      <c r="B52" s="160">
        <v>6.1</v>
      </c>
      <c r="C52" s="149" t="s">
        <v>13129</v>
      </c>
      <c r="D52" s="161">
        <v>44314</v>
      </c>
      <c r="E52" s="169" t="s">
        <v>15477</v>
      </c>
      <c r="F52" s="169" t="s">
        <v>15015</v>
      </c>
      <c r="G52" s="25"/>
    </row>
    <row r="53" spans="1:7" ht="40.799999999999997">
      <c r="A53" s="301"/>
      <c r="B53" s="160">
        <v>6.2</v>
      </c>
      <c r="C53" s="149" t="s">
        <v>13129</v>
      </c>
      <c r="D53" s="161">
        <v>44678</v>
      </c>
      <c r="E53" s="169" t="s">
        <v>15477</v>
      </c>
      <c r="F53" s="169" t="s">
        <v>15476</v>
      </c>
      <c r="G53" s="25"/>
    </row>
    <row r="54" spans="1:7" ht="40.799999999999997">
      <c r="A54" s="301"/>
      <c r="B54" s="160">
        <v>6.21</v>
      </c>
      <c r="C54" s="149" t="s">
        <v>13129</v>
      </c>
      <c r="D54" s="161">
        <v>44687</v>
      </c>
      <c r="E54" s="169" t="s">
        <v>15486</v>
      </c>
      <c r="F54" s="169" t="s">
        <v>15476</v>
      </c>
      <c r="G54" s="25"/>
    </row>
    <row r="55" spans="1:7" ht="40.799999999999997">
      <c r="A55" s="301"/>
      <c r="B55" s="160">
        <v>6.22</v>
      </c>
      <c r="C55" s="149" t="s">
        <v>13129</v>
      </c>
      <c r="D55" s="274">
        <v>44692</v>
      </c>
      <c r="E55" s="169" t="s">
        <v>15485</v>
      </c>
      <c r="F55" s="169" t="s">
        <v>15476</v>
      </c>
      <c r="G55" s="25"/>
    </row>
    <row r="56" spans="1:7" ht="51">
      <c r="A56" s="301"/>
      <c r="B56" s="202">
        <v>6.3</v>
      </c>
      <c r="C56" s="149" t="s">
        <v>13129</v>
      </c>
      <c r="D56" s="274">
        <v>45051</v>
      </c>
      <c r="E56" s="169" t="s">
        <v>15753</v>
      </c>
      <c r="F56" s="169" t="s">
        <v>15534</v>
      </c>
      <c r="G56" s="25"/>
    </row>
    <row r="57" spans="1:7" ht="40.799999999999997">
      <c r="A57" s="301"/>
      <c r="B57" s="160">
        <v>6.31</v>
      </c>
      <c r="C57" s="149" t="s">
        <v>13129</v>
      </c>
      <c r="D57" s="274">
        <v>45072</v>
      </c>
      <c r="E57" s="169" t="s">
        <v>15755</v>
      </c>
      <c r="F57" s="169" t="s">
        <v>15534</v>
      </c>
      <c r="G57" s="25"/>
    </row>
    <row r="58" spans="1:7" ht="44.4" customHeight="1">
      <c r="A58" s="301"/>
      <c r="B58" s="202">
        <v>6.4</v>
      </c>
      <c r="C58" s="149" t="s">
        <v>13129</v>
      </c>
      <c r="D58" s="274">
        <v>45408</v>
      </c>
      <c r="E58" s="169" t="s">
        <v>15757</v>
      </c>
      <c r="F58" s="169" t="s">
        <v>15756</v>
      </c>
      <c r="G58" s="25"/>
    </row>
    <row r="59" spans="1:7" ht="13.2" thickBot="1">
      <c r="A59" s="302"/>
      <c r="B59" s="303" t="str">
        <f ca="1">OFFSET(L!$C$1,MATCH("General"&amp;"Cpy",L!$A:$A,0)-1,SL,,)</f>
        <v>© 2024 Responsible Minerals Initiative. All rights reserved.</v>
      </c>
      <c r="C59" s="303"/>
      <c r="D59" s="303"/>
      <c r="E59" s="303"/>
      <c r="F59" s="303"/>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94"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45.80000000000001">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16.2">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16.2">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16.2">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16.2">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97.2">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64.8">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48.6">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32.4">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48.6">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45.80000000000001">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45.80000000000001">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13.4">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13.4">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1">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45"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05"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32.4">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8.6">
      <c r="A10" s="74"/>
      <c r="B10" s="63" t="str">
        <f ca="1">OFFSET(L!$C$1,MATCH("Definitions"&amp;ADDRESS(ROW(),COLUMN(),4),L!$A:$A,0)-1,SL,,)</f>
        <v>DRC</v>
      </c>
      <c r="C10" s="63" t="str">
        <f ca="1">OFFSET(L!$C$1,MATCH("Definitions"&amp;ADDRESS(ROW(),COLUMN(),4),L!$A:$A,0)-1,SL,,)</f>
        <v>Democratic Republic of Congo</v>
      </c>
      <c r="D10" s="320"/>
      <c r="E10" s="100" t="s">
        <v>1300</v>
      </c>
    </row>
    <row r="11" spans="1:5" ht="48.6"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48.6">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178.2">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97.2">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48.6">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45.80000000000001">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13.4">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48.6">
      <c r="A19" s="74"/>
      <c r="B19" s="63" t="str">
        <f ca="1">OFFSET(L!$C$1,MATCH("Definitions"&amp;ADDRESS(ROW(),COLUMN(),4),L!$A:$A,0)-1,SL,,)</f>
        <v>OECD</v>
      </c>
      <c r="C19" s="63" t="str">
        <f ca="1">OFFSET(L!$C$1,MATCH("Definitions"&amp;ADDRESS(ROW(),COLUMN(),4),L!$A:$A,0)-1,SL,,)</f>
        <v>Organisation for Economic Co-operation and Development</v>
      </c>
      <c r="D19" s="320"/>
      <c r="E19" s="100"/>
    </row>
    <row r="20" spans="1:5" ht="16.2">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32.4">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48.6">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81">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6.2">
      <c r="A32" s="74"/>
      <c r="B32" s="319" t="str">
        <f ca="1">OFFSET(L!$C$1,MATCH("General"&amp;"Cpy",L!$A:$A,0)-1,SL,,)</f>
        <v>© 2024 Responsible Minerals Initiative. All rights reserved.</v>
      </c>
      <c r="C32" s="319"/>
      <c r="D32" s="320"/>
      <c r="E32" s="100"/>
    </row>
    <row r="33" spans="1:4" ht="13.2" thickBot="1">
      <c r="A33" s="75"/>
      <c r="B33" s="153"/>
      <c r="C33" s="153"/>
      <c r="D33" s="321"/>
    </row>
    <row r="34" spans="1:4" ht="13.2"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74" zoomScaleNormal="74" zoomScalePageLayoutView="70" workbookViewId="0">
      <selection activeCell="G77" sqref="G77:J77"/>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52"/>
      <c r="B1" s="353"/>
      <c r="C1" s="353"/>
      <c r="D1" s="353"/>
      <c r="E1" s="353"/>
      <c r="F1" s="353"/>
      <c r="G1" s="353"/>
      <c r="H1" s="353"/>
      <c r="I1" s="353"/>
      <c r="J1" s="353"/>
      <c r="K1" s="354"/>
      <c r="L1" s="100"/>
      <c r="P1" s="3"/>
      <c r="Q1" s="3"/>
      <c r="R1" s="3"/>
      <c r="S1" s="3"/>
      <c r="T1" s="3"/>
      <c r="U1" s="3"/>
      <c r="V1" s="3"/>
      <c r="W1" s="3"/>
      <c r="X1" s="3"/>
      <c r="Y1" s="3"/>
      <c r="Z1" s="3"/>
      <c r="AA1" s="3"/>
      <c r="AB1" s="3"/>
      <c r="AC1" s="3"/>
      <c r="AD1" s="3"/>
      <c r="AE1" s="3"/>
      <c r="AF1" s="3"/>
      <c r="AG1" s="3"/>
      <c r="AH1" s="3"/>
    </row>
    <row r="2" spans="1:34" ht="82.35" customHeight="1">
      <c r="A2" s="34"/>
      <c r="B2" s="136"/>
      <c r="C2" s="35"/>
      <c r="D2" s="355" t="str">
        <f ca="1">OFFSET(L!$C$1,MATCH("Declaration"&amp;ADDRESS(ROW(),COLUMN(),4),L!$A:$A,0)-1,SL,,)</f>
        <v>Conflict Minerals Reporting Template (CMRT)</v>
      </c>
      <c r="E2" s="356"/>
      <c r="F2" s="356"/>
      <c r="G2" s="356"/>
      <c r="H2" s="356"/>
      <c r="I2" s="356"/>
      <c r="J2" s="35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5"/>
      <c r="G3" s="365"/>
      <c r="H3" s="365"/>
      <c r="I3" s="152"/>
      <c r="J3" s="138" t="s">
        <v>15760</v>
      </c>
      <c r="K3" s="36"/>
      <c r="L3" s="100"/>
      <c r="P3" s="45">
        <f>MATCH($D$3,LN,0)</f>
        <v>1</v>
      </c>
    </row>
    <row r="4" spans="1:34" ht="16.2">
      <c r="A4" s="34"/>
      <c r="B4" s="361" t="str">
        <f ca="1">OFFSET(L!$C$1,MATCH("Declaration"&amp;ADDRESS(ROW(),COLUMN(),4),L!$A:$A,0)-1,SL,,)</f>
        <v>The purpose of this document is to collect sourcing information on tin, tantalum, tungsten and gold used in products</v>
      </c>
      <c r="C4" s="361"/>
      <c r="D4" s="361"/>
      <c r="E4" s="361"/>
      <c r="F4" s="361"/>
      <c r="G4" s="361"/>
      <c r="H4" s="361"/>
      <c r="I4" s="366" t="str">
        <f ca="1">OFFSET(L!$C$1,MATCH("Declaration"&amp;ADDRESS(ROW(),COLUMN(),4),L!$A:$A,0)-1,SL,,)</f>
        <v>Link to Terms &amp; Conditions</v>
      </c>
      <c r="J4" s="366"/>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1" t="str">
        <f ca="1">OFFSET(L!$C$1,MATCH("Declaration"&amp;ADDRESS(ROW(),COLUMN(),4),L!$A:$A,0)-1,SL,,)</f>
        <v>Mandatory fields are noted with an asterisk (*).  Consult the instructions tab for guidance on how to answer each question.</v>
      </c>
      <c r="C6" s="361"/>
      <c r="D6" s="361"/>
      <c r="E6" s="361"/>
      <c r="F6" s="361"/>
      <c r="G6" s="361"/>
      <c r="H6" s="361"/>
      <c r="I6" s="361"/>
      <c r="J6" s="361"/>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70" t="str">
        <f ca="1">OFFSET(L!$C$1,MATCH("Declaration"&amp;ADDRESS(ROW(),COLUMN(),4),L!$A:$A,0)-1,SL,,)</f>
        <v>Company Information</v>
      </c>
      <c r="C7" s="370"/>
      <c r="D7" s="370"/>
      <c r="E7" s="370"/>
      <c r="F7" s="370"/>
      <c r="G7" s="370"/>
      <c r="H7" s="370"/>
      <c r="I7" s="370"/>
      <c r="J7" s="370"/>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58" t="s">
        <v>15856</v>
      </c>
      <c r="E8" s="359"/>
      <c r="F8" s="359"/>
      <c r="G8" s="359"/>
      <c r="H8" s="359"/>
      <c r="I8" s="359"/>
      <c r="J8" s="360"/>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7" t="s">
        <v>490</v>
      </c>
      <c r="E9" s="368"/>
      <c r="F9" s="368"/>
      <c r="G9" s="369"/>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71" t="str">
        <f ca="1">OFFSET(L!$C$1,MATCH("Declaration"&amp;ADDRESS(ROW(),COLUMN(),4)&amp;LEFT($D$9,1),L!$A:$A,0)-1,SL,,)</f>
        <v>Description of Scope:</v>
      </c>
      <c r="C10" s="122"/>
      <c r="D10" s="362"/>
      <c r="E10" s="363"/>
      <c r="F10" s="363"/>
      <c r="G10" s="363"/>
      <c r="H10" s="363"/>
      <c r="I10" s="363"/>
      <c r="J10" s="364"/>
      <c r="K10" s="36"/>
      <c r="L10" s="115"/>
      <c r="Q10" s="3"/>
      <c r="R10" s="3"/>
      <c r="S10" s="3"/>
      <c r="T10" s="3"/>
      <c r="U10" s="3"/>
      <c r="V10" s="3"/>
      <c r="W10" s="3"/>
      <c r="X10" s="3"/>
      <c r="Y10" s="3"/>
      <c r="Z10" s="3"/>
      <c r="AA10" s="3"/>
      <c r="AB10" s="3"/>
      <c r="AC10" s="3"/>
      <c r="AD10" s="3"/>
      <c r="AE10" s="3"/>
      <c r="AF10" s="3"/>
      <c r="AG10" s="3"/>
      <c r="AH10" s="3"/>
    </row>
    <row r="11" spans="1:34" ht="16.2">
      <c r="A11" s="38"/>
      <c r="B11" s="372"/>
      <c r="C11" s="122"/>
      <c r="D11" s="338" t="str">
        <f ca="1">IF(D9=Q9,OFFSET(L!$C$1,MATCH("Declaration"&amp;ADDRESS(ROW(),COLUMN(),4),L!$A:$A,0)-1,SL,,),"")</f>
        <v/>
      </c>
      <c r="E11" s="339"/>
      <c r="F11" s="339"/>
      <c r="G11" s="339"/>
      <c r="H11" s="339"/>
      <c r="I11" s="339"/>
      <c r="J11" s="340"/>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6"/>
      <c r="E12" s="347"/>
      <c r="F12" s="347"/>
      <c r="G12" s="347"/>
      <c r="H12" s="347"/>
      <c r="I12" s="347"/>
      <c r="J12" s="348"/>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6"/>
      <c r="E13" s="347"/>
      <c r="F13" s="347"/>
      <c r="G13" s="347"/>
      <c r="H13" s="347"/>
      <c r="I13" s="347"/>
      <c r="J13" s="348"/>
      <c r="K13" s="36"/>
      <c r="L13" s="115"/>
      <c r="Q13" s="3"/>
      <c r="R13" s="3"/>
      <c r="S13" s="3"/>
      <c r="T13" s="3"/>
      <c r="U13" s="3"/>
      <c r="V13" s="3"/>
      <c r="W13" s="3"/>
      <c r="X13" s="3"/>
      <c r="Y13" s="3"/>
      <c r="Z13" s="3"/>
      <c r="AA13" s="3"/>
      <c r="AB13" s="3"/>
      <c r="AC13" s="3"/>
      <c r="AD13" s="3"/>
      <c r="AE13" s="3"/>
      <c r="AF13" s="3"/>
      <c r="AG13" s="3"/>
      <c r="AH13" s="3"/>
    </row>
    <row r="14" spans="1:34" ht="16.2" customHeight="1">
      <c r="A14" s="38"/>
      <c r="B14" s="40" t="str">
        <f ca="1">OFFSET(L!$C$1,MATCH("Declaration"&amp;ADDRESS(ROW(),COLUMN(),4),L!$A:$A,0)-1,SL,,)</f>
        <v>Address:</v>
      </c>
      <c r="C14" s="77"/>
      <c r="D14" s="388" t="s">
        <v>15857</v>
      </c>
      <c r="E14" s="389"/>
      <c r="F14" s="389"/>
      <c r="G14" s="389"/>
      <c r="H14" s="389"/>
      <c r="I14" s="389"/>
      <c r="J14" s="390"/>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88" t="s">
        <v>15858</v>
      </c>
      <c r="E15" s="389"/>
      <c r="F15" s="389"/>
      <c r="G15" s="389"/>
      <c r="H15" s="389"/>
      <c r="I15" s="389"/>
      <c r="J15" s="390"/>
      <c r="K15" s="36"/>
      <c r="L15" s="115"/>
      <c r="Q15" s="3"/>
      <c r="R15" s="3"/>
      <c r="S15" s="3"/>
      <c r="T15" s="3"/>
      <c r="U15" s="3"/>
      <c r="V15" s="3"/>
      <c r="W15" s="3"/>
      <c r="X15" s="3"/>
      <c r="Y15" s="3"/>
      <c r="Z15" s="3"/>
      <c r="AA15" s="3"/>
      <c r="AB15" s="3"/>
      <c r="AC15" s="3"/>
      <c r="AD15" s="3"/>
      <c r="AE15" s="3"/>
      <c r="AF15" s="3"/>
      <c r="AG15" s="3"/>
      <c r="AH15" s="3"/>
    </row>
    <row r="16" spans="1:34" ht="16.2" customHeight="1">
      <c r="A16" s="38"/>
      <c r="B16" s="40" t="str">
        <f ca="1">OFFSET(L!$C$1,MATCH("Declaration"&amp;ADDRESS(ROW(),COLUMN(),4),L!$A:$A,0)-1,SL,,)</f>
        <v>Email – Contact (*):</v>
      </c>
      <c r="C16" s="77"/>
      <c r="D16" s="391" t="s">
        <v>15859</v>
      </c>
      <c r="E16" s="392"/>
      <c r="F16" s="392"/>
      <c r="G16" s="392"/>
      <c r="H16" s="392"/>
      <c r="I16" s="392"/>
      <c r="J16" s="393"/>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88" t="s">
        <v>15860</v>
      </c>
      <c r="E17" s="389"/>
      <c r="F17" s="389"/>
      <c r="G17" s="389"/>
      <c r="H17" s="389"/>
      <c r="I17" s="389"/>
      <c r="J17" s="390"/>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8" t="s">
        <v>15858</v>
      </c>
      <c r="E18" s="389"/>
      <c r="F18" s="389"/>
      <c r="G18" s="389"/>
      <c r="H18" s="389"/>
      <c r="I18" s="389"/>
      <c r="J18" s="390"/>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88" t="s">
        <v>15861</v>
      </c>
      <c r="E19" s="389"/>
      <c r="F19" s="389"/>
      <c r="G19" s="389"/>
      <c r="H19" s="389"/>
      <c r="I19" s="389"/>
      <c r="J19" s="390"/>
      <c r="K19" s="36"/>
      <c r="L19" s="110"/>
      <c r="P19" s="3"/>
      <c r="Q19" s="3"/>
      <c r="R19" s="3"/>
      <c r="S19" s="3"/>
      <c r="T19" s="3"/>
      <c r="U19" s="3"/>
      <c r="V19" s="3"/>
      <c r="W19" s="3"/>
      <c r="X19" s="3"/>
      <c r="Y19" s="3"/>
      <c r="Z19" s="3"/>
      <c r="AA19" s="3"/>
      <c r="AB19" s="3"/>
      <c r="AC19" s="3"/>
      <c r="AD19" s="3"/>
      <c r="AE19" s="3"/>
      <c r="AF19" s="3"/>
      <c r="AG19" s="3"/>
      <c r="AH19" s="3"/>
    </row>
    <row r="20" spans="1:34" ht="22.2" customHeight="1">
      <c r="A20" s="38"/>
      <c r="B20" s="40" t="str">
        <f ca="1">OFFSET(L!$C$1,MATCH("Declaration"&amp;ADDRESS(ROW(),COLUMN(),4),L!$A:$A,0)-1,SL,,)</f>
        <v>Email - Authorizer (*):</v>
      </c>
      <c r="C20" s="77"/>
      <c r="D20" s="391" t="s">
        <v>15859</v>
      </c>
      <c r="E20" s="392"/>
      <c r="F20" s="392"/>
      <c r="G20" s="392"/>
      <c r="H20" s="392"/>
      <c r="I20" s="392"/>
      <c r="J20" s="393"/>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8" t="s">
        <v>15862</v>
      </c>
      <c r="E21" s="389"/>
      <c r="F21" s="389"/>
      <c r="G21" s="389"/>
      <c r="H21" s="389"/>
      <c r="I21" s="389"/>
      <c r="J21" s="390"/>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73">
        <v>45673</v>
      </c>
      <c r="E22" s="37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49"/>
      <c r="E23" s="34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75" t="str">
        <f ca="1">OFFSET(L!$C$1,MATCH("Declaration"&amp;ADDRESS(ROW(),COLUMN(),4),L!$A:$A,0)-1,SL,,)</f>
        <v>Answer the following questions 1 - 8 based on the declaration scope indicated above</v>
      </c>
      <c r="C24" s="375"/>
      <c r="D24" s="375"/>
      <c r="E24" s="375"/>
      <c r="F24" s="375"/>
      <c r="G24" s="375"/>
      <c r="H24" s="375"/>
      <c r="I24" s="375"/>
      <c r="J24" s="37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9" t="str">
        <f ca="1">OFFSET(L!$C$1,MATCH("Declaration"&amp;ADDRESS(ROW(),COLUMN(),4),L!$A:$A,0)-1,SL,,)</f>
        <v>Answer</v>
      </c>
      <c r="E25" s="329"/>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2" t="s">
        <v>484</v>
      </c>
      <c r="E26" s="323"/>
      <c r="F26" s="12"/>
      <c r="G26" s="324"/>
      <c r="H26" s="325"/>
      <c r="I26" s="325"/>
      <c r="J26" s="32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2" t="s">
        <v>484</v>
      </c>
      <c r="E27" s="323"/>
      <c r="F27" s="12"/>
      <c r="G27" s="324"/>
      <c r="H27" s="325"/>
      <c r="I27" s="325"/>
      <c r="J27" s="32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2" t="s">
        <v>484</v>
      </c>
      <c r="E28" s="323"/>
      <c r="F28" s="12"/>
      <c r="G28" s="324"/>
      <c r="H28" s="325"/>
      <c r="I28" s="325"/>
      <c r="J28" s="32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2" t="s">
        <v>484</v>
      </c>
      <c r="E29" s="323"/>
      <c r="F29" s="12"/>
      <c r="G29" s="324"/>
      <c r="H29" s="325"/>
      <c r="I29" s="325"/>
      <c r="J29" s="32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1" t="s">
        <v>484</v>
      </c>
      <c r="E32" s="342"/>
      <c r="F32" s="47"/>
      <c r="G32" s="324"/>
      <c r="H32" s="325"/>
      <c r="I32" s="325"/>
      <c r="J32" s="32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2" t="s">
        <v>484</v>
      </c>
      <c r="E33" s="323"/>
      <c r="F33" s="47"/>
      <c r="G33" s="324"/>
      <c r="H33" s="325"/>
      <c r="I33" s="325"/>
      <c r="J33" s="32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2" t="s">
        <v>484</v>
      </c>
      <c r="E34" s="323"/>
      <c r="F34" s="47"/>
      <c r="G34" s="324"/>
      <c r="H34" s="325"/>
      <c r="I34" s="325"/>
      <c r="J34" s="32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2" t="s">
        <v>484</v>
      </c>
      <c r="E35" s="323"/>
      <c r="F35" s="47"/>
      <c r="G35" s="324"/>
      <c r="H35" s="325"/>
      <c r="I35" s="325"/>
      <c r="J35" s="32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45"/>
      <c r="I37" s="345"/>
      <c r="J37" s="345"/>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2" t="s">
        <v>485</v>
      </c>
      <c r="E38" s="323"/>
      <c r="F38" s="47"/>
      <c r="G38" s="324"/>
      <c r="H38" s="325"/>
      <c r="I38" s="325"/>
      <c r="J38" s="32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2" t="s">
        <v>485</v>
      </c>
      <c r="E39" s="323"/>
      <c r="F39" s="47"/>
      <c r="G39" s="324"/>
      <c r="H39" s="325"/>
      <c r="I39" s="325"/>
      <c r="J39" s="32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2" t="s">
        <v>485</v>
      </c>
      <c r="E40" s="323"/>
      <c r="F40" s="47"/>
      <c r="G40" s="324"/>
      <c r="H40" s="325"/>
      <c r="I40" s="325"/>
      <c r="J40" s="32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2" t="s">
        <v>485</v>
      </c>
      <c r="E41" s="323"/>
      <c r="F41" s="47"/>
      <c r="G41" s="324"/>
      <c r="H41" s="325"/>
      <c r="I41" s="325"/>
      <c r="J41" s="32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2" t="s">
        <v>485</v>
      </c>
      <c r="E44" s="323"/>
      <c r="F44" s="47"/>
      <c r="G44" s="324"/>
      <c r="H44" s="325"/>
      <c r="I44" s="325"/>
      <c r="J44" s="32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2" t="s">
        <v>485</v>
      </c>
      <c r="E45" s="323"/>
      <c r="F45" s="47"/>
      <c r="G45" s="324"/>
      <c r="H45" s="325"/>
      <c r="I45" s="325"/>
      <c r="J45" s="32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2" t="s">
        <v>485</v>
      </c>
      <c r="E46" s="323"/>
      <c r="F46" s="47"/>
      <c r="G46" s="324"/>
      <c r="H46" s="325"/>
      <c r="I46" s="325"/>
      <c r="J46" s="32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2" t="s">
        <v>485</v>
      </c>
      <c r="E47" s="323"/>
      <c r="F47" s="47"/>
      <c r="G47" s="324"/>
      <c r="H47" s="325"/>
      <c r="I47" s="325"/>
      <c r="J47" s="32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2" t="s">
        <v>485</v>
      </c>
      <c r="E50" s="323"/>
      <c r="F50" s="47"/>
      <c r="G50" s="324"/>
      <c r="H50" s="325"/>
      <c r="I50" s="325"/>
      <c r="J50" s="32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2" t="s">
        <v>485</v>
      </c>
      <c r="E51" s="323"/>
      <c r="F51" s="47"/>
      <c r="G51" s="324"/>
      <c r="H51" s="325"/>
      <c r="I51" s="325"/>
      <c r="J51" s="32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2" t="s">
        <v>485</v>
      </c>
      <c r="E52" s="323"/>
      <c r="F52" s="47"/>
      <c r="G52" s="324"/>
      <c r="H52" s="325"/>
      <c r="I52" s="325"/>
      <c r="J52" s="32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2" t="s">
        <v>485</v>
      </c>
      <c r="E53" s="323"/>
      <c r="F53" s="47"/>
      <c r="G53" s="324"/>
      <c r="H53" s="325"/>
      <c r="I53" s="325"/>
      <c r="J53" s="32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3" t="s">
        <v>15855</v>
      </c>
      <c r="E56" s="344"/>
      <c r="F56" s="47"/>
      <c r="G56" s="324"/>
      <c r="H56" s="325"/>
      <c r="I56" s="325"/>
      <c r="J56" s="32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3" t="s">
        <v>15855</v>
      </c>
      <c r="E57" s="344"/>
      <c r="F57" s="47"/>
      <c r="G57" s="324"/>
      <c r="H57" s="325"/>
      <c r="I57" s="325"/>
      <c r="J57" s="32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3" t="s">
        <v>15855</v>
      </c>
      <c r="E58" s="344"/>
      <c r="F58" s="47"/>
      <c r="G58" s="324"/>
      <c r="H58" s="325"/>
      <c r="I58" s="325"/>
      <c r="J58" s="32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3" t="s">
        <v>15855</v>
      </c>
      <c r="E59" s="344"/>
      <c r="F59" s="47"/>
      <c r="G59" s="324"/>
      <c r="H59" s="325"/>
      <c r="I59" s="325"/>
      <c r="J59" s="32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1" t="str">
        <f ca="1">D25</f>
        <v>Answer</v>
      </c>
      <c r="E61" s="331"/>
      <c r="F61" s="18"/>
      <c r="G61" s="44" t="str">
        <f ca="1">G25</f>
        <v>Comments</v>
      </c>
      <c r="H61" s="328"/>
      <c r="I61" s="328"/>
      <c r="J61" s="328"/>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1" t="s">
        <v>484</v>
      </c>
      <c r="E62" s="342"/>
      <c r="F62" s="47"/>
      <c r="G62" s="324"/>
      <c r="H62" s="325"/>
      <c r="I62" s="325"/>
      <c r="J62" s="32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2" t="s">
        <v>484</v>
      </c>
      <c r="E63" s="323"/>
      <c r="F63" s="47"/>
      <c r="G63" s="324"/>
      <c r="H63" s="325"/>
      <c r="I63" s="325"/>
      <c r="J63" s="32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2" t="s">
        <v>484</v>
      </c>
      <c r="E64" s="323"/>
      <c r="F64" s="47"/>
      <c r="G64" s="324"/>
      <c r="H64" s="325"/>
      <c r="I64" s="325"/>
      <c r="J64" s="32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2" t="s">
        <v>484</v>
      </c>
      <c r="E65" s="323"/>
      <c r="F65" s="47"/>
      <c r="G65" s="324"/>
      <c r="H65" s="325"/>
      <c r="I65" s="325"/>
      <c r="J65" s="32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28" t="str">
        <f>IF(Q75="(*)","Click here to enter smelter names","")</f>
        <v/>
      </c>
      <c r="I67" s="328"/>
      <c r="J67" s="328"/>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2" t="s">
        <v>484</v>
      </c>
      <c r="E68" s="323"/>
      <c r="F68" s="48"/>
      <c r="G68" s="324"/>
      <c r="H68" s="325"/>
      <c r="I68" s="325"/>
      <c r="J68" s="32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2" t="s">
        <v>484</v>
      </c>
      <c r="E69" s="323"/>
      <c r="F69" s="48"/>
      <c r="G69" s="324"/>
      <c r="H69" s="325"/>
      <c r="I69" s="325"/>
      <c r="J69" s="32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2" t="s">
        <v>484</v>
      </c>
      <c r="E70" s="323"/>
      <c r="F70" s="48"/>
      <c r="G70" s="324"/>
      <c r="H70" s="325"/>
      <c r="I70" s="325"/>
      <c r="J70" s="32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2" t="s">
        <v>484</v>
      </c>
      <c r="E71" s="323"/>
      <c r="F71" s="50"/>
      <c r="G71" s="324"/>
      <c r="H71" s="325"/>
      <c r="I71" s="325"/>
      <c r="J71" s="32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27" t="str">
        <f ca="1">OFFSET(L!$C$1,MATCH("Declaration"&amp;ADDRESS(ROW(),COLUMN(),4),L!$A:$A,0)-1,SL,,)</f>
        <v>Answer the Following Questions at a Company Level</v>
      </c>
      <c r="C73" s="327"/>
      <c r="D73" s="327"/>
      <c r="E73" s="327"/>
      <c r="F73" s="327"/>
      <c r="G73" s="327"/>
      <c r="H73" s="327"/>
      <c r="I73" s="327"/>
      <c r="J73" s="327"/>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29" t="str">
        <f ca="1">D25</f>
        <v>Answer</v>
      </c>
      <c r="E74" s="329"/>
      <c r="F74" s="53"/>
      <c r="G74" s="329" t="str">
        <f ca="1">G25</f>
        <v>Comments</v>
      </c>
      <c r="H74" s="329" t="e">
        <f>HLOOKUP(SL,LT,$O74,0)</f>
        <v>#NAME?</v>
      </c>
      <c r="I74" s="32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2" t="s">
        <v>484</v>
      </c>
      <c r="E75" s="323"/>
      <c r="F75" s="57"/>
      <c r="G75" s="394" t="s">
        <v>15863</v>
      </c>
      <c r="H75" s="350"/>
      <c r="I75" s="350"/>
      <c r="J75" s="351"/>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0"/>
      <c r="H76" s="330"/>
      <c r="I76" s="330"/>
      <c r="J76" s="33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2" t="s">
        <v>484</v>
      </c>
      <c r="E77" s="323"/>
      <c r="F77" s="57"/>
      <c r="G77" s="394" t="s">
        <v>15863</v>
      </c>
      <c r="H77" s="350"/>
      <c r="I77" s="350"/>
      <c r="J77" s="351"/>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2" t="s">
        <v>484</v>
      </c>
      <c r="E79" s="323"/>
      <c r="F79" s="57"/>
      <c r="G79" s="324"/>
      <c r="H79" s="325"/>
      <c r="I79" s="325"/>
      <c r="J79" s="32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2" t="s">
        <v>484</v>
      </c>
      <c r="E81" s="323"/>
      <c r="F81" s="57"/>
      <c r="G81" s="324"/>
      <c r="H81" s="325"/>
      <c r="I81" s="325"/>
      <c r="J81" s="32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2" t="s">
        <v>14954</v>
      </c>
      <c r="E83" s="323"/>
      <c r="F83" s="57"/>
      <c r="G83" s="324"/>
      <c r="H83" s="325"/>
      <c r="I83" s="325"/>
      <c r="J83" s="32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5" t="s">
        <v>484</v>
      </c>
      <c r="E85" s="336"/>
      <c r="F85" s="57"/>
      <c r="G85" s="324"/>
      <c r="H85" s="325"/>
      <c r="I85" s="325"/>
      <c r="J85" s="32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0"/>
      <c r="H86" s="330"/>
      <c r="I86" s="330"/>
      <c r="J86" s="33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2" t="s">
        <v>484</v>
      </c>
      <c r="E87" s="323"/>
      <c r="F87" s="57"/>
      <c r="G87" s="324"/>
      <c r="H87" s="325"/>
      <c r="I87" s="325"/>
      <c r="J87" s="32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37"/>
      <c r="H88" s="337"/>
      <c r="I88" s="337"/>
      <c r="J88" s="337"/>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2" t="s">
        <v>485</v>
      </c>
      <c r="E89" s="323"/>
      <c r="F89" s="57"/>
      <c r="G89" s="324"/>
      <c r="H89" s="325"/>
      <c r="I89" s="325"/>
      <c r="J89" s="32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34" t="str">
        <f>IF(OR($D$8="",$I$3=""),"","Click here to check required fields completion")</f>
        <v/>
      </c>
      <c r="C90" s="334"/>
      <c r="D90" s="334"/>
      <c r="E90" s="334"/>
      <c r="F90" s="334"/>
      <c r="G90" s="334"/>
      <c r="H90" s="334"/>
      <c r="I90" s="334"/>
      <c r="J90" s="334"/>
      <c r="K90" s="36"/>
      <c r="L90" s="100"/>
      <c r="P90" s="3"/>
      <c r="Q90" s="3"/>
      <c r="R90" s="3"/>
      <c r="S90" s="3"/>
      <c r="T90" s="3"/>
      <c r="U90" s="3"/>
      <c r="V90" s="3"/>
      <c r="W90" s="3"/>
      <c r="X90" s="3"/>
      <c r="Y90" s="3"/>
      <c r="Z90" s="3"/>
      <c r="AA90" s="3"/>
      <c r="AB90" s="3"/>
      <c r="AC90" s="3"/>
      <c r="AD90" s="3"/>
      <c r="AE90" s="3"/>
      <c r="AF90" s="3"/>
      <c r="AG90" s="3"/>
      <c r="AH90" s="3"/>
    </row>
    <row r="91" spans="1:34" ht="16.8" thickBot="1">
      <c r="A91" s="332" t="str">
        <f ca="1">OFFSET(L!$C$1,MATCH("General"&amp;"Cpy",L!$A:$A,0)-1,SL,,)</f>
        <v>© 2024 Responsible Minerals Initiative. All rights reserved.</v>
      </c>
      <c r="B91" s="333"/>
      <c r="C91" s="333"/>
      <c r="D91" s="333"/>
      <c r="E91" s="333"/>
      <c r="F91" s="333"/>
      <c r="G91" s="333"/>
      <c r="H91" s="333"/>
      <c r="I91" s="333"/>
      <c r="J91" s="333"/>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 hidden="1">
      <c r="B98" s="56" t="s">
        <v>486</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2463</v>
      </c>
      <c r="D100" s="281" t="str">
        <f>IF(AND(OR($D$27="Yes",$D$27=""),OR($D$33="Yes",$D$33="")),"No","")</f>
        <v>No</v>
      </c>
      <c r="E100" s="281" t="str">
        <f>IF(AND(OR($D$26="Yes",$D$26=""),OR($D$32="Yes",$D$32="")),"50% or less","")</f>
        <v>50% or less</v>
      </c>
      <c r="G100" s="281" t="str">
        <f>IF(OR($D$28="Yes",$D$28=""),"Yes","")</f>
        <v>Yes</v>
      </c>
    </row>
    <row r="101" spans="2:7" ht="15" hidden="1">
      <c r="B101" s="236" t="s">
        <v>2464</v>
      </c>
      <c r="D101" s="281" t="str">
        <f>IF(AND(OR($D$27="Yes",$D$27=""),OR($D$33="Yes",$D$33="")),"Unknown","")</f>
        <v>Unknown</v>
      </c>
      <c r="E101" s="281" t="str">
        <f>IF(AND(OR($D$26="Yes",$D$26=""),OR($D$32="Yes",$D$32="")),"None","")</f>
        <v>None</v>
      </c>
      <c r="G101" s="281" t="str">
        <f>IF(OR($D$28="Yes",$D$28=""),"No","")</f>
        <v>No</v>
      </c>
    </row>
    <row r="102" spans="2:7" ht="15" hidden="1">
      <c r="B102" s="236" t="s">
        <v>2465</v>
      </c>
      <c r="D102" s="281" t="str">
        <f>IF(AND(OR($D$28="Yes",$D$28=""),OR($D$34="Yes",$D$34="")),"Yes","")</f>
        <v>Yes</v>
      </c>
      <c r="E102" s="281" t="str">
        <f>IF(AND(OR($D$27="Yes",$D$27=""),OR($D$33="Yes",$D$33="")),"100%","")</f>
        <v>100%</v>
      </c>
      <c r="G102" s="281" t="str">
        <f>IF(OR($D$29="Yes",$D$29=""),"Yes","")</f>
        <v>Yes</v>
      </c>
    </row>
    <row r="103" spans="2:7" ht="15" hidden="1">
      <c r="B103" s="236" t="s">
        <v>2466</v>
      </c>
      <c r="D103" s="281" t="str">
        <f>IF(AND(OR($D$28="Yes",$D$28=""),OR($D$34="Yes",$D$34="")),"No","")</f>
        <v>No</v>
      </c>
      <c r="E103" s="281" t="str">
        <f>IF(AND(OR($D$27="Yes",$D$27=""),OR($D$33="Yes",$D$33="")),"Greater than 90%","")</f>
        <v>Greater than 90%</v>
      </c>
      <c r="G103" s="281" t="str">
        <f>IF(OR($D$29="Yes",$D$29=""),"No","")</f>
        <v>No</v>
      </c>
    </row>
    <row r="104" spans="2:7" ht="15" hidden="1">
      <c r="B104" s="236" t="s">
        <v>487</v>
      </c>
      <c r="D104" s="281" t="str">
        <f>IF(AND(OR($D$28="Yes",$D$28=""),OR($D$34="Yes",$D$34="")),"Unknown","")</f>
        <v>Unknown</v>
      </c>
      <c r="E104" s="281" t="str">
        <f>IF(AND(OR($D$27="Yes",$D$27=""),OR($D$33="Yes",$D$33="")),"Greater than 75%","")</f>
        <v>Greater than 75%</v>
      </c>
    </row>
    <row r="105" spans="2:7" ht="15" hidden="1">
      <c r="B105" s="236" t="s">
        <v>14954</v>
      </c>
      <c r="D105" s="281" t="str">
        <f>IF(AND(OR($D$29="Yes",$D$29=""),OR($D$35="Yes",$D$35="")),"Yes","")</f>
        <v>Yes</v>
      </c>
      <c r="E105" s="281" t="str">
        <f>IF(AND(OR($D$27="Yes",$D$27=""),OR($D$33="Yes",$D$33="")),"Greater than 50%","")</f>
        <v>Greater than 50%</v>
      </c>
    </row>
    <row r="106" spans="2:7" ht="15" hidden="1">
      <c r="B106" s="236" t="s">
        <v>12372</v>
      </c>
      <c r="D106" s="281" t="str">
        <f>IF(AND(OR($D$29="Yes",$D$29=""),OR($D$35="Yes",$D$35="")),"No","")</f>
        <v>No</v>
      </c>
      <c r="E106" s="281" t="str">
        <f>IF(AND(OR($D$27="Yes",$D$27=""),OR($D$33="Yes",$D$33="")),"50% or less","")</f>
        <v>50% or less</v>
      </c>
    </row>
    <row r="107" spans="2:7" ht="15" hidden="1">
      <c r="B107" s="236" t="s">
        <v>485</v>
      </c>
      <c r="D107" s="281" t="str">
        <f>IF(AND(OR($D$29="Yes",$D$29=""),OR($D$35="Yes",$D$35="")),"Unknown","")</f>
        <v>Unknown</v>
      </c>
      <c r="E107" s="281" t="str">
        <f>IF(AND(OR($D$27="Yes",$D$27=""),OR($D$33="Yes",$D$33="")),"None","")</f>
        <v>None</v>
      </c>
    </row>
    <row r="108" spans="2:7" ht="15" hidden="1">
      <c r="B108" s="236" t="s">
        <v>13946</v>
      </c>
      <c r="E108" s="281" t="str">
        <f>IF(AND(OR($D$28="Yes",$D$28=""),OR($D$34="Yes",$D$34="")),"100%","")</f>
        <v>100%</v>
      </c>
    </row>
    <row r="109" spans="2:7" ht="15" hidden="1">
      <c r="B109" s="236" t="s">
        <v>13948</v>
      </c>
      <c r="E109" s="281" t="str">
        <f>IF(AND(OR($D$28="Yes",$D$28=""),OR($D$34="Yes",$D$34="")),"Greater than 90%","")</f>
        <v>Greater than 90%</v>
      </c>
    </row>
    <row r="110" spans="2:7" ht="15" hidden="1">
      <c r="B110" s="236" t="s">
        <v>13949</v>
      </c>
      <c r="E110" s="281" t="str">
        <f>IF(AND(OR($D$28="Yes",$D$28=""),OR($D$34="Yes",$D$34="")),"Greater than 75%","")</f>
        <v>Greater than 75%</v>
      </c>
    </row>
    <row r="111" spans="2:7" ht="1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90" priority="172" stopIfTrue="1">
      <formula>IF($D$22="",TRUE)</formula>
    </cfRule>
  </conditionalFormatting>
  <conditionalFormatting sqref="D26:E26">
    <cfRule type="expression" dxfId="89" priority="150" stopIfTrue="1">
      <formula>IF($D$26="",TRUE)</formula>
    </cfRule>
  </conditionalFormatting>
  <conditionalFormatting sqref="D27:E27">
    <cfRule type="expression" dxfId="88" priority="157" stopIfTrue="1">
      <formula>IF($D$27="",TRUE)</formula>
    </cfRule>
  </conditionalFormatting>
  <conditionalFormatting sqref="D28:E28">
    <cfRule type="expression" dxfId="87" priority="158" stopIfTrue="1">
      <formula>IF($D$28="",TRUE)</formula>
    </cfRule>
  </conditionalFormatting>
  <conditionalFormatting sqref="D29:E29">
    <cfRule type="expression" dxfId="86" priority="159" stopIfTrue="1">
      <formula>IF($D$29="",TRUE)</formula>
    </cfRule>
  </conditionalFormatting>
  <conditionalFormatting sqref="D32:E32">
    <cfRule type="expression" dxfId="85" priority="68" stopIfTrue="1">
      <formula>IF(AND(OR($D$26="Yes",$D$26=""),$D$32=""),1,0)</formula>
    </cfRule>
    <cfRule type="expression" dxfId="84" priority="155" stopIfTrue="1">
      <formula>$P$26=""</formula>
    </cfRule>
  </conditionalFormatting>
  <conditionalFormatting sqref="D33:E33">
    <cfRule type="expression" dxfId="83" priority="56" stopIfTrue="1">
      <formula>$P$27=""</formula>
    </cfRule>
    <cfRule type="expression" dxfId="82" priority="55" stopIfTrue="1">
      <formula>IF(AND(OR($D$27="Yes",$D$27=""),$D$33=""),1,0)</formula>
    </cfRule>
  </conditionalFormatting>
  <conditionalFormatting sqref="D34:E34">
    <cfRule type="expression" dxfId="81" priority="14" stopIfTrue="1">
      <formula>IF(AND(OR($D$28="Yes",$D$28=""),$D$34=""),1,0)</formula>
    </cfRule>
    <cfRule type="expression" dxfId="80" priority="15" stopIfTrue="1">
      <formula>$P$28=""</formula>
    </cfRule>
  </conditionalFormatting>
  <conditionalFormatting sqref="D35:E35">
    <cfRule type="expression" dxfId="79" priority="52" stopIfTrue="1">
      <formula>IF(AND(OR($D$29="Yes",$D$29=""),$D$35=""),1,0)</formula>
    </cfRule>
    <cfRule type="expression" dxfId="78" priority="176" stopIfTrue="1">
      <formula>$P$29=""</formula>
    </cfRule>
  </conditionalFormatting>
  <conditionalFormatting sqref="D38:E38 D44:E44 D50:E50 D56:E56 D62:E62 D68:E68">
    <cfRule type="expression" dxfId="77" priority="31" stopIfTrue="1">
      <formula>$P$26=""</formula>
    </cfRule>
    <cfRule type="expression" dxfId="76" priority="32" stopIfTrue="1">
      <formula>$P$32=""</formula>
    </cfRule>
  </conditionalFormatting>
  <conditionalFormatting sqref="D38:E38">
    <cfRule type="expression" dxfId="75" priority="67" stopIfTrue="1">
      <formula>IF(AND(OR($D$26="Yes",$D$26=""),OR($D$32="Yes",$D$32=""),D38=""),1,0)</formula>
    </cfRule>
  </conditionalFormatting>
  <conditionalFormatting sqref="D39:E39 D45:E45 D51:E51 D57:E57 D63:E63 D69:E69">
    <cfRule type="expression" dxfId="74" priority="25" stopIfTrue="1">
      <formula>$P$33=""</formula>
    </cfRule>
    <cfRule type="expression" dxfId="73" priority="26" stopIfTrue="1">
      <formula>$P$39=""</formula>
    </cfRule>
  </conditionalFormatting>
  <conditionalFormatting sqref="D39:E39">
    <cfRule type="expression" dxfId="72" priority="63" stopIfTrue="1">
      <formula>IF(AND(OR($D$27="Yes",$D$27=""),OR($D$33="Yes",$D$33=""),D39=""),1,0)</formula>
    </cfRule>
  </conditionalFormatting>
  <conditionalFormatting sqref="D40:E40 D46:E46 D52:E52 D58:E58 D64:E64 D70:E70">
    <cfRule type="expression" dxfId="71" priority="20" stopIfTrue="1">
      <formula>$P$28=""</formula>
    </cfRule>
    <cfRule type="expression" dxfId="70" priority="21" stopIfTrue="1">
      <formula>$P$34=""</formula>
    </cfRule>
  </conditionalFormatting>
  <conditionalFormatting sqref="D40:E40">
    <cfRule type="expression" dxfId="69" priority="62" stopIfTrue="1">
      <formula>IF(AND(OR($D$28="Yes",$D$28=""),OR($D$34="Yes",$D$34=""),D40=""),1,0)</formula>
    </cfRule>
  </conditionalFormatting>
  <conditionalFormatting sqref="D41:E41 D47:E47 D53:E53 D59:E59 D65:E65 D71:E71">
    <cfRule type="expression" dxfId="68" priority="16" stopIfTrue="1">
      <formula>$P$29=""</formula>
    </cfRule>
    <cfRule type="expression" dxfId="67" priority="17" stopIfTrue="1">
      <formula>$P$35=""</formula>
    </cfRule>
  </conditionalFormatting>
  <conditionalFormatting sqref="D41:E41">
    <cfRule type="expression" dxfId="66" priority="178" stopIfTrue="1">
      <formula>IF(AND(OR($D$29="Yes",$D$29=""),OR($D$35="Yes",$D$35=""),D41=""),1,0)</formula>
    </cfRule>
  </conditionalFormatting>
  <conditionalFormatting sqref="D44:E44">
    <cfRule type="expression" dxfId="65" priority="66" stopIfTrue="1">
      <formula>IF(AND(OR($D$26="Yes",$D$26=""),OR($D$32="Yes",$D$32=""),D44=""),1,0)</formula>
    </cfRule>
  </conditionalFormatting>
  <conditionalFormatting sqref="D45:E45">
    <cfRule type="expression" dxfId="64" priority="28" stopIfTrue="1">
      <formula>IF(AND(OR($D$27="Yes",$D$27=""),OR($D$33="Yes",$D$33=""),D45=""),1,0)</formula>
    </cfRule>
  </conditionalFormatting>
  <conditionalFormatting sqref="D46:E46">
    <cfRule type="expression" dxfId="63" priority="53" stopIfTrue="1">
      <formula>IF(AND(OR($D$28="Yes",$D$28=""),OR($D$34="Yes",$D$34=""),D46=""),1,0)</formula>
    </cfRule>
  </conditionalFormatting>
  <conditionalFormatting sqref="D47:E47">
    <cfRule type="expression" dxfId="62" priority="61" stopIfTrue="1">
      <formula>IF(AND(OR($D$29="Yes",$D$29=""),OR($D$35="Yes",$D$35=""),D47=""),1,0)</formula>
    </cfRule>
  </conditionalFormatting>
  <conditionalFormatting sqref="D50:E50">
    <cfRule type="expression" dxfId="61" priority="34" stopIfTrue="1">
      <formula>IF(AND(OR($D$26="Yes",$D$26=""),OR($D$32="Yes",$D$32=""),D50=""),1,0)</formula>
    </cfRule>
  </conditionalFormatting>
  <conditionalFormatting sqref="D51:E51">
    <cfRule type="expression" dxfId="60" priority="173" stopIfTrue="1">
      <formula>IF(AND(OR($D$27="Yes",$D$27=""),OR($D$33="Yes",$D$33=""),D51=""),1,0)</formula>
    </cfRule>
  </conditionalFormatting>
  <conditionalFormatting sqref="D52:E52">
    <cfRule type="expression" dxfId="59" priority="24" stopIfTrue="1">
      <formula>IF(AND(OR($D$28="Yes",$D$28=""),OR($D$34="Yes",$D$34=""),D52=""),1,0)</formula>
    </cfRule>
  </conditionalFormatting>
  <conditionalFormatting sqref="D53:E53">
    <cfRule type="expression" dxfId="58" priority="47" stopIfTrue="1">
      <formula>IF(AND(OR($D$29="Yes",$D$29=""),OR($D$35="Yes",$D$35=""),D53=""),1,0)</formula>
    </cfRule>
  </conditionalFormatting>
  <conditionalFormatting sqref="D56:E56">
    <cfRule type="expression" dxfId="57" priority="42" stopIfTrue="1">
      <formula>IF(AND(OR($D$26="Yes",$D$26=""),OR($D$32="Yes",$D$32=""),D56=""),1,0)</formula>
    </cfRule>
  </conditionalFormatting>
  <conditionalFormatting sqref="D57:E57">
    <cfRule type="expression" dxfId="56" priority="30" stopIfTrue="1">
      <formula>IF(AND(OR($D$27="Yes",$D$27=""),OR($D$33="Yes",$D$33=""),D57=""),1,0)</formula>
    </cfRule>
  </conditionalFormatting>
  <conditionalFormatting sqref="D58:E58">
    <cfRule type="expression" dxfId="55" priority="23" stopIfTrue="1">
      <formula>IF(AND(OR($D$28="Yes",$D$28=""),OR($D$34="Yes",$D$34=""),D58=""),1,0)</formula>
    </cfRule>
  </conditionalFormatting>
  <conditionalFormatting sqref="D59:E59">
    <cfRule type="expression" dxfId="54" priority="19" stopIfTrue="1">
      <formula>IF(AND(OR($D$29="Yes",$D$29=""),OR($D$35="Yes",$D$35=""),D59=""),1,0)</formula>
    </cfRule>
  </conditionalFormatting>
  <conditionalFormatting sqref="D62:E62">
    <cfRule type="expression" dxfId="53" priority="41" stopIfTrue="1">
      <formula>IF(AND(OR($D$26="Yes",$D$26=""),OR($D$32="Yes",$D$32=""),D62=""),1,0)</formula>
    </cfRule>
  </conditionalFormatting>
  <conditionalFormatting sqref="D63:E63">
    <cfRule type="expression" dxfId="52" priority="27" stopIfTrue="1">
      <formula>IF(AND(OR($D$27="Yes",$D$27=""),OR($D$33="Yes",$D$33=""),D63=""),1,0)</formula>
    </cfRule>
  </conditionalFormatting>
  <conditionalFormatting sqref="D64:E64">
    <cfRule type="expression" dxfId="51" priority="22" stopIfTrue="1">
      <formula>IF(AND(OR($D$28="Yes",$D$28=""),OR($D$34="Yes",$D$34=""),D64=""),1,0)</formula>
    </cfRule>
  </conditionalFormatting>
  <conditionalFormatting sqref="D65:E65">
    <cfRule type="expression" dxfId="50" priority="18" stopIfTrue="1">
      <formula>IF(AND(OR($D$29="Yes",$D$29=""),OR($D$35="Yes",$D$35=""),D65=""),1,0)</formula>
    </cfRule>
  </conditionalFormatting>
  <conditionalFormatting sqref="D68:E68">
    <cfRule type="expression" dxfId="49" priority="33" stopIfTrue="1">
      <formula>IF(AND(OR($D$26="Yes",$D$26=""),OR($D$32="Yes",$D$32=""),D68=""),1,0)</formula>
    </cfRule>
  </conditionalFormatting>
  <conditionalFormatting sqref="D69:E69">
    <cfRule type="expression" dxfId="48" priority="29" stopIfTrue="1">
      <formula>IF(AND(OR($D$27="Yes",$D$27=""),OR($D$33="Yes",$D$33=""),D69=""),1,0)</formula>
    </cfRule>
  </conditionalFormatting>
  <conditionalFormatting sqref="D70:E70">
    <cfRule type="expression" dxfId="47" priority="175" stopIfTrue="1">
      <formula>IF(AND(OR($D$28="Yes",$D$28=""),OR($D$34="Yes",$D$34=""),D70=""),1,0)</formula>
    </cfRule>
  </conditionalFormatting>
  <conditionalFormatting sqref="D71:E71">
    <cfRule type="expression" dxfId="46" priority="177" stopIfTrue="1">
      <formula>IF(AND(OR($D$29="Yes",$D$29=""),OR($D$35="Yes",$D$35=""),D71=""),1,0)</formula>
    </cfRule>
  </conditionalFormatting>
  <conditionalFormatting sqref="D75:E75 D77:E77 D79:E79 D81:E81 D83 D85:E85 D87:E87 D89:E89">
    <cfRule type="expression" dxfId="45" priority="98" stopIfTrue="1">
      <formula>AND(OR($D$26="No",AND($D$26="Yes",$D$32="No")),OR($D$27="No",AND($D$27="Yes",$D$33="No")),OR($D$28="No",AND($D$28="Yes",$D$34="No")),OR($D$29="No",AND($D$29="Yes",$D$35="No")))</formula>
    </cfRule>
    <cfRule type="expression" dxfId="44" priority="99" stopIfTrue="1">
      <formula>IF(D75="",TRUE)</formula>
    </cfRule>
  </conditionalFormatting>
  <conditionalFormatting sqref="D9:G9">
    <cfRule type="expression" dxfId="43" priority="165" stopIfTrue="1">
      <formula>IF($D$9="",TRUE)</formula>
    </cfRule>
  </conditionalFormatting>
  <conditionalFormatting sqref="D8:J8">
    <cfRule type="expression" dxfId="42" priority="164" stopIfTrue="1">
      <formula>IF($D$8="",TRUE)</formula>
    </cfRule>
  </conditionalFormatting>
  <conditionalFormatting sqref="D10:J10">
    <cfRule type="expression" dxfId="41" priority="179" stopIfTrue="1">
      <formula>IF(AND($D$10="",$D$9=$R$9),TRUE)</formula>
    </cfRule>
    <cfRule type="expression" dxfId="40" priority="69" stopIfTrue="1">
      <formula>IF($D$9=$Q$9,TRUE)</formula>
    </cfRule>
  </conditionalFormatting>
  <conditionalFormatting sqref="G85:J85">
    <cfRule type="expression" dxfId="38" priority="60" stopIfTrue="1">
      <formula>IF(AND($D$85="Yes, using other format (describe)",$G$85=""),TRUE)</formula>
    </cfRule>
  </conditionalFormatting>
  <conditionalFormatting sqref="D15:J15">
    <cfRule type="expression" dxfId="7" priority="5" stopIfTrue="1">
      <formula>IF($D$15="",TRUE)</formula>
    </cfRule>
  </conditionalFormatting>
  <conditionalFormatting sqref="D16:J16">
    <cfRule type="expression" dxfId="6" priority="6" stopIfTrue="1">
      <formula>IF($D$16="",TRUE)</formula>
    </cfRule>
  </conditionalFormatting>
  <conditionalFormatting sqref="D17:J17">
    <cfRule type="expression" dxfId="5" priority="7" stopIfTrue="1">
      <formula>IF($D$17="",TRUE)</formula>
    </cfRule>
  </conditionalFormatting>
  <conditionalFormatting sqref="D18:J18">
    <cfRule type="expression" dxfId="4" priority="8" stopIfTrue="1">
      <formula>IF($D$18="",TRUE)</formula>
    </cfRule>
  </conditionalFormatting>
  <conditionalFormatting sqref="D20:J20">
    <cfRule type="expression" dxfId="3" priority="4" stopIfTrue="1">
      <formula>IF($D$20="",TRUE)</formula>
    </cfRule>
  </conditionalFormatting>
  <conditionalFormatting sqref="D21:J21">
    <cfRule type="expression" dxfId="2" priority="3" stopIfTrue="1">
      <formula>IF($D$21="",TRUE)</formula>
    </cfRule>
  </conditionalFormatting>
  <conditionalFormatting sqref="G75:J75">
    <cfRule type="expression" dxfId="1" priority="2" stopIfTrue="1">
      <formula>IF(AND($D$77="Yes",$G$77=""),TRUE)</formula>
    </cfRule>
  </conditionalFormatting>
  <conditionalFormatting sqref="G77:J77">
    <cfRule type="expression" dxfId="0"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20" r:id="rId3"/>
    <hyperlink ref="D16" r:id="rId4"/>
    <hyperlink ref="G75" r:id="rId5"/>
    <hyperlink ref="G77" r:id="rId6"/>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4" zoomScaleNormal="100" zoomScalePageLayoutView="55" workbookViewId="0">
      <selection activeCell="C7" sqref="C7"/>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76" t="str">
        <f ca="1">OFFSET(L!$C$1,MATCH("Smelter List"&amp;ADDRESS(ROW(),COLUMN(),4),L!$A:$A,0)-1,SL,,)</f>
        <v>Link to "RMAP Conformant Smelter List"</v>
      </c>
      <c r="K2" s="377"/>
      <c r="L2" s="377"/>
      <c r="M2" s="377"/>
      <c r="N2" s="377"/>
      <c r="O2" s="377"/>
      <c r="P2" s="195"/>
      <c r="Q2" s="196"/>
      <c r="R2" s="197"/>
      <c r="S2" s="197"/>
      <c r="T2" s="197"/>
      <c r="AH2" s="145" t="s">
        <v>484</v>
      </c>
    </row>
    <row r="3" spans="1:34" s="221" customFormat="1" ht="45" customHeight="1">
      <c r="A3" s="171"/>
      <c r="B3" s="37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8"/>
      <c r="D3" s="378"/>
      <c r="E3" s="378"/>
      <c r="F3" s="222"/>
      <c r="G3" s="379" t="str">
        <f ca="1">OFFSET(L!$C$1,MATCH("General"&amp;"Cpy",L!$A:$A,0)-1,SL,,)</f>
        <v>© 2024 Responsible Minerals Initiative. All rights reserved.</v>
      </c>
      <c r="H3" s="379"/>
      <c r="I3" s="380"/>
      <c r="J3" s="126"/>
      <c r="K3" s="127"/>
      <c r="M3" s="198"/>
      <c r="N3" s="198"/>
      <c r="O3" s="99"/>
      <c r="P3" s="99"/>
      <c r="Q3" s="199" t="s">
        <v>15760</v>
      </c>
      <c r="R3" s="216"/>
      <c r="S3" s="216"/>
      <c r="T3" s="216"/>
      <c r="W3" s="223" t="s">
        <v>1121</v>
      </c>
      <c r="X3" s="223" t="s">
        <v>1120</v>
      </c>
      <c r="Y3" s="223" t="s">
        <v>1122</v>
      </c>
      <c r="Z3" s="223" t="s">
        <v>1119</v>
      </c>
      <c r="AH3" s="145" t="s">
        <v>485</v>
      </c>
    </row>
    <row r="4" spans="1:34" s="159" customFormat="1" ht="4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182" t="s">
        <v>652</v>
      </c>
      <c r="B5" s="182" t="s">
        <v>1119</v>
      </c>
      <c r="C5" s="186" t="s">
        <v>2125</v>
      </c>
      <c r="D5" s="230"/>
      <c r="E5" s="182" t="str">
        <f ca="1">IF(ISERROR($V5),"",OFFSET('Smelter Look-up'!$D$4,$V5-4,0)&amp;"")</f>
        <v>JAPAN</v>
      </c>
      <c r="F5" s="182" t="str">
        <f ca="1">IF(ISERROR($V5),"",OFFSET('Smelter Look-up'!$E$4,$V5-4,0))</f>
        <v>CID000090</v>
      </c>
      <c r="G5" s="182" t="str">
        <f ca="1">IF(C5=$X$4,IF(ISERROR($V5),"Enter smelter details","RMI"),IF(ISERROR($V5),"",OFFSET('Smelter Look-up'!$F$4,$V5-4,0)))</f>
        <v>RMI</v>
      </c>
      <c r="H5" s="183">
        <f ca="1">IF(ISERROR($V5),"",OFFSET('Smelter Look-up'!$G$4,$V5-4,0))</f>
        <v>0</v>
      </c>
      <c r="I5" s="184" t="str">
        <f ca="1">IF(ISERROR($V5),"",OFFSET('Smelter Look-up'!$H$4,$V5-4,0))</f>
        <v>Tamura</v>
      </c>
      <c r="J5" s="184" t="str">
        <f ca="1">IF(ISERROR($V5),"",OFFSET('Smelter Look-up'!$I$4,$V5-4,0))</f>
        <v>Fukushima</v>
      </c>
      <c r="K5" s="224"/>
      <c r="L5" s="224"/>
      <c r="M5" s="224"/>
      <c r="N5" s="224"/>
      <c r="O5" s="224"/>
      <c r="P5" s="185" t="s">
        <v>486</v>
      </c>
      <c r="Q5" s="225"/>
      <c r="R5" s="182" t="str">
        <f ca="1">IF(ISERROR($V5),"",OFFSET('Smelter Look-up'!$C$4,$V5-4,0)&amp;"")</f>
        <v>Asaka Riken Co., Ltd.</v>
      </c>
      <c r="S5" s="181" t="str">
        <f ca="1">IF(B5="","",IF(ISERROR(MATCH($E5,CL,0)),"Unknown",INDIRECT("'C'!$A$"&amp;MATCH($E5,CL,0)+1)))</f>
        <v>JP</v>
      </c>
      <c r="T5" s="181" t="str">
        <f ca="1">IF(B5="","",IF(ISERROR(MATCH($J5,SorP!$B$1:$B$6226,0)),"",INDIRECT("'SorP'!$A$"&amp;MATCH($S5&amp;$J5,SorP!C:C,0))))</f>
        <v>JP-07</v>
      </c>
      <c r="U5" s="201"/>
      <c r="V5" s="226">
        <f>IF(C5="",NA(),IF(OR(C5="Smelter not listed",C5="Smelter not yet identified"),MATCH($B5&amp;$D5,'Smelter Look-up'!$J:$J,0),MATCH($B5&amp;$C5,'Smelter Look-up'!$J:$J,0)))</f>
        <v>32</v>
      </c>
      <c r="X5" s="227">
        <f t="shared" ref="X5" ca="1" si="0">IF(AND(C5="Smelter not listed",OR(LEN(D5)=0,LEN(E5)=0)),1,0)</f>
        <v>0</v>
      </c>
      <c r="AB5" s="228" t="str">
        <f t="shared" ref="AB5" si="1">B5&amp;C5</f>
        <v>GoldAsaka Riken Co., Ltd.</v>
      </c>
    </row>
    <row r="6" spans="1:34" s="227" customFormat="1" ht="19.95" customHeight="1">
      <c r="A6" s="182" t="s">
        <v>690</v>
      </c>
      <c r="B6" s="182" t="s">
        <v>1119</v>
      </c>
      <c r="C6" s="186" t="s">
        <v>2131</v>
      </c>
      <c r="D6" s="230"/>
      <c r="E6" s="182" t="str">
        <f ca="1">IF(ISERROR($V6),"",OFFSET('Smelter Look-up'!$D$4,$V6-4,0)&amp;"")</f>
        <v>JAPAN</v>
      </c>
      <c r="F6" s="182" t="str">
        <f ca="1">IF(ISERROR($V6),"",OFFSET('Smelter Look-up'!$E$4,$V6-4,0))</f>
        <v>CID000981</v>
      </c>
      <c r="G6" s="182" t="str">
        <f ca="1">IF(C6=$X$4,IF(ISERROR($V6),"Enter smelter details","RMI"),IF(ISERROR($V6),"",OFFSET('Smelter Look-up'!$F$4,$V6-4,0)))</f>
        <v>RMI</v>
      </c>
      <c r="H6" s="183">
        <f ca="1">IF(ISERROR($V6),"",OFFSET('Smelter Look-up'!$G$4,$V6-4,0))</f>
        <v>0</v>
      </c>
      <c r="I6" s="184" t="str">
        <f ca="1">IF(ISERROR($V6),"",OFFSET('Smelter Look-up'!$H$4,$V6-4,0))</f>
        <v>Sayama</v>
      </c>
      <c r="J6" s="184" t="str">
        <f ca="1">IF(ISERROR($V6),"",OFFSET('Smelter Look-up'!$I$4,$V6-4,0))</f>
        <v>Saitama</v>
      </c>
      <c r="K6" s="224"/>
      <c r="L6" s="224"/>
      <c r="M6" s="224"/>
      <c r="N6" s="224"/>
      <c r="O6" s="224"/>
      <c r="P6" s="185" t="s">
        <v>486</v>
      </c>
      <c r="Q6" s="225"/>
      <c r="R6" s="182" t="str">
        <f ca="1">IF(ISERROR($V6),"",OFFSET('Smelter Look-up'!$C$4,$V6-4,0)&amp;"")</f>
        <v>Kojima Chemicals Co., Ltd.</v>
      </c>
      <c r="S6" s="181" t="str">
        <f t="shared" ref="S6:S37" ca="1" si="2">IF(B6="","",IF(ISERROR(MATCH($E6,CL,0)),"Unknown",INDIRECT("'C'!$A$"&amp;MATCH($E6,CL,0)+1)))</f>
        <v>JP</v>
      </c>
      <c r="T6" s="181" t="str">
        <f ca="1">IF(B6="","",IF(ISERROR(MATCH($J6,SorP!$B$1:$B$6226,0)),"",INDIRECT("'SorP'!$A$"&amp;MATCH($S6&amp;$J6,SorP!C:C,0))))</f>
        <v>JP-11</v>
      </c>
      <c r="U6" s="201"/>
      <c r="V6" s="226">
        <f>IF(C6="",NA(),IF(OR(C6="Smelter not listed",C6="Smelter not yet identified"),MATCH($B6&amp;$D6,'Smelter Look-up'!$J:$J,0),MATCH($B6&amp;$C6,'Smelter Look-up'!$J:$J,0)))</f>
        <v>151</v>
      </c>
      <c r="X6" s="227">
        <f t="shared" ref="X6:X37" ca="1" si="3">IF(AND(C6="Smelter not listed",OR(LEN(D6)=0,LEN(E6)=0)),1,0)</f>
        <v>0</v>
      </c>
      <c r="AB6" s="228" t="str">
        <f t="shared" ref="AB6:AB37" si="4">B6&amp;C6</f>
        <v>GoldKojima Chemicals Co., Ltd.</v>
      </c>
    </row>
    <row r="7" spans="1:34" s="227" customFormat="1" ht="19.95" customHeight="1">
      <c r="A7" s="182" t="s">
        <v>731</v>
      </c>
      <c r="B7" s="182" t="s">
        <v>1119</v>
      </c>
      <c r="C7" s="186" t="s">
        <v>606</v>
      </c>
      <c r="D7" s="230"/>
      <c r="E7" s="182" t="str">
        <f ca="1">IF(ISERROR($V7),"",OFFSET('Smelter Look-up'!$D$4,$V7-4,0)&amp;"")</f>
        <v>KOREA, REPUBLIC OF</v>
      </c>
      <c r="F7" s="182" t="str">
        <f ca="1">IF(ISERROR($V7),"",OFFSET('Smelter Look-up'!$E$4,$V7-4,0))</f>
        <v>CID001955</v>
      </c>
      <c r="G7" s="182" t="str">
        <f ca="1">IF(C7=$X$4,IF(ISERROR($V7),"Enter smelter details","RMI"),IF(ISERROR($V7),"",OFFSET('Smelter Look-up'!$F$4,$V7-4,0)))</f>
        <v>RMI</v>
      </c>
      <c r="H7" s="183">
        <f ca="1">IF(ISERROR($V7),"",OFFSET('Smelter Look-up'!$G$4,$V7-4,0))</f>
        <v>0</v>
      </c>
      <c r="I7" s="184" t="str">
        <f ca="1">IF(ISERROR($V7),"",OFFSET('Smelter Look-up'!$H$4,$V7-4,0))</f>
        <v>Asan</v>
      </c>
      <c r="J7" s="184" t="str">
        <f ca="1">IF(ISERROR($V7),"",OFFSET('Smelter Look-up'!$I$4,$V7-4,0))</f>
        <v>Chungcheongnam-do</v>
      </c>
      <c r="K7" s="224"/>
      <c r="L7" s="224"/>
      <c r="M7" s="224"/>
      <c r="N7" s="224"/>
      <c r="O7" s="224"/>
      <c r="P7" s="185" t="s">
        <v>486</v>
      </c>
      <c r="Q7" s="225"/>
      <c r="R7" s="182" t="str">
        <f ca="1">IF(ISERROR($V7),"",OFFSET('Smelter Look-up'!$C$4,$V7-4,0)&amp;"")</f>
        <v>Torecom</v>
      </c>
      <c r="S7" s="181" t="str">
        <f t="shared" ca="1" si="2"/>
        <v>KR</v>
      </c>
      <c r="T7" s="181" t="str">
        <f ca="1">IF(B7="","",IF(ISERROR(MATCH($J7,SorP!$B$1:$B$6226,0)),"",INDIRECT("'SorP'!$A$"&amp;MATCH($S7&amp;$J7,SorP!C:C,0))))</f>
        <v>KR-44</v>
      </c>
      <c r="U7" s="201"/>
      <c r="V7" s="226">
        <f>IF(C7="",NA(),IF(OR(C7="Smelter not listed",C7="Smelter not yet identified"),MATCH($B7&amp;$D7,'Smelter Look-up'!$J:$J,0),MATCH($B7&amp;$C7,'Smelter Look-up'!$J:$J,0)))</f>
        <v>299</v>
      </c>
      <c r="X7" s="227">
        <f t="shared" ca="1" si="3"/>
        <v>0</v>
      </c>
      <c r="AB7" s="228" t="str">
        <f t="shared" si="4"/>
        <v>GoldTorecom</v>
      </c>
    </row>
    <row r="8" spans="1:34" s="227" customFormat="1" ht="32.549999999999997" customHeight="1">
      <c r="A8" s="182" t="s">
        <v>733</v>
      </c>
      <c r="B8" s="182" t="s">
        <v>1119</v>
      </c>
      <c r="C8" s="186" t="s">
        <v>810</v>
      </c>
      <c r="D8" s="230"/>
      <c r="E8" s="182" t="str">
        <f ca="1">IF(ISERROR($V8),"",OFFSET('Smelter Look-up'!$D$4,$V8-4,0)&amp;"")</f>
        <v>UNITED STATES OF AMERICA</v>
      </c>
      <c r="F8" s="182" t="str">
        <f ca="1">IF(ISERROR($V8),"",OFFSET('Smelter Look-up'!$E$4,$V8-4,0))</f>
        <v>CID001993</v>
      </c>
      <c r="G8" s="182" t="str">
        <f ca="1">IF(C8=$X$4,IF(ISERROR($V8),"Enter smelter details","RMI"),IF(ISERROR($V8),"",OFFSET('Smelter Look-up'!$F$4,$V8-4,0)))</f>
        <v>RMI</v>
      </c>
      <c r="H8" s="183">
        <f ca="1">IF(ISERROR($V8),"",OFFSET('Smelter Look-up'!$G$4,$V8-4,0))</f>
        <v>0</v>
      </c>
      <c r="I8" s="184" t="str">
        <f ca="1">IF(ISERROR($V8),"",OFFSET('Smelter Look-up'!$H$4,$V8-4,0))</f>
        <v>Alden</v>
      </c>
      <c r="J8" s="184" t="str">
        <f ca="1">IF(ISERROR($V8),"",OFFSET('Smelter Look-up'!$I$4,$V8-4,0))</f>
        <v>New York</v>
      </c>
      <c r="K8" s="224"/>
      <c r="L8" s="224"/>
      <c r="M8" s="224"/>
      <c r="N8" s="224"/>
      <c r="O8" s="224"/>
      <c r="P8" s="185" t="s">
        <v>486</v>
      </c>
      <c r="Q8" s="225"/>
      <c r="R8" s="182" t="str">
        <f ca="1">IF(ISERROR($V8),"",OFFSET('Smelter Look-up'!$C$4,$V8-4,0)&amp;"")</f>
        <v>United Precious Metal Refining, Inc.</v>
      </c>
      <c r="S8" s="181" t="str">
        <f t="shared" ca="1" si="2"/>
        <v>US</v>
      </c>
      <c r="T8" s="181" t="str">
        <f ca="1">IF(B8="","",IF(ISERROR(MATCH($J8,SorP!$B$1:$B$6226,0)),"",INDIRECT("'SorP'!$A$"&amp;MATCH($S8&amp;$J8,SorP!C:C,0))))</f>
        <v>US-NY</v>
      </c>
      <c r="U8" s="201"/>
      <c r="V8" s="226">
        <f>IF(C8="",NA(),IF(OR(C8="Smelter not listed",C8="Smelter not yet identified"),MATCH($B8&amp;$D8,'Smelter Look-up'!$J:$J,0),MATCH($B8&amp;$C8,'Smelter Look-up'!$J:$J,0)))</f>
        <v>304</v>
      </c>
      <c r="X8" s="227">
        <f t="shared" ca="1" si="3"/>
        <v>0</v>
      </c>
      <c r="AB8" s="228" t="str">
        <f t="shared" si="4"/>
        <v>GoldUnited Precious Metal Refining, Inc.</v>
      </c>
    </row>
    <row r="9" spans="1:34" s="227" customFormat="1" ht="19.95" customHeight="1">
      <c r="A9" s="182" t="s">
        <v>737</v>
      </c>
      <c r="B9" s="182" t="s">
        <v>1119</v>
      </c>
      <c r="C9" s="186" t="s">
        <v>2149</v>
      </c>
      <c r="D9" s="230"/>
      <c r="E9" s="182" t="str">
        <f ca="1">IF(ISERROR($V9),"",OFFSET('Smelter Look-up'!$D$4,$V9-4,0)&amp;"")</f>
        <v>JAPAN</v>
      </c>
      <c r="F9" s="182" t="str">
        <f ca="1">IF(ISERROR($V9),"",OFFSET('Smelter Look-up'!$E$4,$V9-4,0))</f>
        <v>CID002129</v>
      </c>
      <c r="G9" s="182" t="str">
        <f ca="1">IF(C9=$X$4,IF(ISERROR($V9),"Enter smelter details","RMI"),IF(ISERROR($V9),"",OFFSET('Smelter Look-up'!$F$4,$V9-4,0)))</f>
        <v>RMI</v>
      </c>
      <c r="H9" s="183">
        <f ca="1">IF(ISERROR($V9),"",OFFSET('Smelter Look-up'!$G$4,$V9-4,0))</f>
        <v>0</v>
      </c>
      <c r="I9" s="184" t="str">
        <f ca="1">IF(ISERROR($V9),"",OFFSET('Smelter Look-up'!$H$4,$V9-4,0))</f>
        <v>Sagamihara</v>
      </c>
      <c r="J9" s="184" t="str">
        <f ca="1">IF(ISERROR($V9),"",OFFSET('Smelter Look-up'!$I$4,$V9-4,0))</f>
        <v>Kanagawa</v>
      </c>
      <c r="K9" s="224"/>
      <c r="L9" s="224"/>
      <c r="M9" s="224"/>
      <c r="N9" s="224"/>
      <c r="O9" s="224"/>
      <c r="P9" s="185" t="s">
        <v>486</v>
      </c>
      <c r="Q9" s="225"/>
      <c r="R9" s="182" t="str">
        <f ca="1">IF(ISERROR($V9),"",OFFSET('Smelter Look-up'!$C$4,$V9-4,0)&amp;"")</f>
        <v>Yokohama Metal Co., Ltd.</v>
      </c>
      <c r="S9" s="181" t="str">
        <f t="shared" ca="1" si="2"/>
        <v>JP</v>
      </c>
      <c r="T9" s="181" t="str">
        <f ca="1">IF(B9="","",IF(ISERROR(MATCH($J9,SorP!$B$1:$B$6226,0)),"",INDIRECT("'SorP'!$A$"&amp;MATCH($S9&amp;$J9,SorP!C:C,0))))</f>
        <v>JP-14</v>
      </c>
      <c r="U9" s="201"/>
      <c r="V9" s="226">
        <f>IF(C9="",NA(),IF(OR(C9="Smelter not listed",C9="Smelter not yet identified"),MATCH($B9&amp;$D9,'Smelter Look-up'!$J:$J,0),MATCH($B9&amp;$C9,'Smelter Look-up'!$J:$J,0)))</f>
        <v>317</v>
      </c>
      <c r="X9" s="227">
        <f t="shared" ca="1" si="3"/>
        <v>0</v>
      </c>
      <c r="AB9" s="228" t="str">
        <f t="shared" si="4"/>
        <v>GoldYokohama Metal Co., Ltd.</v>
      </c>
    </row>
    <row r="10" spans="1:34" s="227" customFormat="1" ht="19.95" customHeight="1">
      <c r="A10" s="182" t="s">
        <v>2301</v>
      </c>
      <c r="B10" s="182" t="s">
        <v>1119</v>
      </c>
      <c r="C10" s="186" t="s">
        <v>2300</v>
      </c>
      <c r="D10" s="230"/>
      <c r="E10" s="182" t="str">
        <f ca="1">IF(ISERROR($V10),"",OFFSET('Smelter Look-up'!$D$4,$V10-4,0)&amp;"")</f>
        <v>CZECHIA</v>
      </c>
      <c r="F10" s="182" t="str">
        <f ca="1">IF(ISERROR($V10),"",OFFSET('Smelter Look-up'!$E$4,$V10-4,0))</f>
        <v>CID002290</v>
      </c>
      <c r="G10" s="182" t="str">
        <f ca="1">IF(C10=$X$4,IF(ISERROR($V10),"Enter smelter details","RMI"),IF(ISERROR($V10),"",OFFSET('Smelter Look-up'!$F$4,$V10-4,0)))</f>
        <v>RMI</v>
      </c>
      <c r="H10" s="183">
        <f ca="1">IF(ISERROR($V10),"",OFFSET('Smelter Look-up'!$G$4,$V10-4,0))</f>
        <v>0</v>
      </c>
      <c r="I10" s="184" t="str">
        <f ca="1">IF(ISERROR($V10),"",OFFSET('Smelter Look-up'!$H$4,$V10-4,0))</f>
        <v>Vestec</v>
      </c>
      <c r="J10" s="184" t="str">
        <f ca="1">IF(ISERROR($V10),"",OFFSET('Smelter Look-up'!$I$4,$V10-4,0))</f>
        <v>Praha-západ</v>
      </c>
      <c r="K10" s="224"/>
      <c r="L10" s="224"/>
      <c r="M10" s="224"/>
      <c r="N10" s="224"/>
      <c r="O10" s="224"/>
      <c r="P10" s="185" t="s">
        <v>486</v>
      </c>
      <c r="Q10" s="225"/>
      <c r="R10" s="182" t="str">
        <f ca="1">IF(ISERROR($V10),"",OFFSET('Smelter Look-up'!$C$4,$V10-4,0)&amp;"")</f>
        <v>SAFINA A.S.</v>
      </c>
      <c r="S10" s="181" t="str">
        <f t="shared" ca="1" si="2"/>
        <v>CZ</v>
      </c>
      <c r="T10" s="181" t="str">
        <f ca="1">IF(B10="","",IF(ISERROR(MATCH($J10,SorP!$B$1:$B$6226,0)),"",INDIRECT("'SorP'!$A$"&amp;MATCH($S10&amp;$J10,SorP!C:C,0))))</f>
        <v>CZ-20A</v>
      </c>
      <c r="U10" s="201"/>
      <c r="V10" s="226">
        <f>IF(C10="",NA(),IF(OR(C10="Smelter not listed",C10="Smelter not yet identified"),MATCH($B10&amp;$D10,'Smelter Look-up'!$J:$J,0),MATCH($B10&amp;$C10,'Smelter Look-up'!$J:$J,0)))</f>
        <v>236</v>
      </c>
      <c r="X10" s="227">
        <f t="shared" ca="1" si="3"/>
        <v>0</v>
      </c>
      <c r="AB10" s="228" t="str">
        <f t="shared" si="4"/>
        <v>GoldSAFINA A.S.</v>
      </c>
    </row>
    <row r="11" spans="1:34" s="227" customFormat="1" ht="19.95" customHeight="1">
      <c r="A11" s="182" t="s">
        <v>1704</v>
      </c>
      <c r="B11" s="182" t="s">
        <v>1119</v>
      </c>
      <c r="C11" s="186" t="s">
        <v>2285</v>
      </c>
      <c r="D11" s="230"/>
      <c r="E11" s="182" t="str">
        <f ca="1">IF(ISERROR($V11),"",OFFSET('Smelter Look-up'!$D$4,$V11-4,0)&amp;"")</f>
        <v>KOREA, REPUBLIC OF</v>
      </c>
      <c r="F11" s="182" t="str">
        <f ca="1">IF(ISERROR($V11),"",OFFSET('Smelter Look-up'!$E$4,$V11-4,0))</f>
        <v>CID002605</v>
      </c>
      <c r="G11" s="182" t="str">
        <f ca="1">IF(C11=$X$4,IF(ISERROR($V11),"Enter smelter details","RMI"),IF(ISERROR($V11),"",OFFSET('Smelter Look-up'!$F$4,$V11-4,0)))</f>
        <v>RMI</v>
      </c>
      <c r="H11" s="183">
        <f ca="1">IF(ISERROR($V11),"",OFFSET('Smelter Look-up'!$G$4,$V11-4,0))</f>
        <v>0</v>
      </c>
      <c r="I11" s="184" t="str">
        <f ca="1">IF(ISERROR($V11),"",OFFSET('Smelter Look-up'!$H$4,$V11-4,0))</f>
        <v>Seoul</v>
      </c>
      <c r="J11" s="184" t="str">
        <f ca="1">IF(ISERROR($V11),"",OFFSET('Smelter Look-up'!$I$4,$V11-4,0))</f>
        <v>Seoul-teukbyeolsi</v>
      </c>
      <c r="K11" s="224"/>
      <c r="L11" s="224"/>
      <c r="M11" s="224"/>
      <c r="N11" s="224"/>
      <c r="O11" s="224"/>
      <c r="P11" s="185" t="s">
        <v>485</v>
      </c>
      <c r="Q11" s="225"/>
      <c r="R11" s="182" t="str">
        <f ca="1">IF(ISERROR($V11),"",OFFSET('Smelter Look-up'!$C$4,$V11-4,0)&amp;"")</f>
        <v>Korea Zinc Co., Ltd.</v>
      </c>
      <c r="S11" s="181" t="str">
        <f t="shared" ca="1" si="2"/>
        <v>KR</v>
      </c>
      <c r="T11" s="181" t="str">
        <f ca="1">IF(B11="","",IF(ISERROR(MATCH($J11,SorP!$B$1:$B$6226,0)),"",INDIRECT("'SorP'!$A$"&amp;MATCH($S11&amp;$J11,SorP!C:C,0))))</f>
        <v>KR-11</v>
      </c>
      <c r="U11" s="201"/>
      <c r="V11" s="226">
        <f>IF(C11="",NA(),IF(OR(C11="Smelter not listed",C11="Smelter not yet identified"),MATCH($B11&amp;$D11,'Smelter Look-up'!$J:$J,0),MATCH($B11&amp;$C11,'Smelter Look-up'!$J:$J,0)))</f>
        <v>154</v>
      </c>
      <c r="X11" s="227">
        <f t="shared" ca="1" si="3"/>
        <v>0</v>
      </c>
      <c r="AB11" s="228" t="str">
        <f t="shared" si="4"/>
        <v>GoldKorea Zinc Co., Ltd.</v>
      </c>
    </row>
    <row r="12" spans="1:34" s="227" customFormat="1" ht="19.95" customHeight="1">
      <c r="A12" s="182" t="s">
        <v>2188</v>
      </c>
      <c r="B12" s="182" t="s">
        <v>1119</v>
      </c>
      <c r="C12" s="186" t="s">
        <v>2186</v>
      </c>
      <c r="D12" s="230"/>
      <c r="E12" s="182" t="str">
        <f ca="1">IF(ISERROR($V12),"",OFFSET('Smelter Look-up'!$D$4,$V12-4,0)&amp;"")</f>
        <v>GERMANY</v>
      </c>
      <c r="F12" s="182" t="str">
        <f ca="1">IF(ISERROR($V12),"",OFFSET('Smelter Look-up'!$E$4,$V12-4,0))</f>
        <v>CID002778</v>
      </c>
      <c r="G12" s="182" t="str">
        <f ca="1">IF(C12=$X$4,IF(ISERROR($V12),"Enter smelter details","RMI"),IF(ISERROR($V12),"",OFFSET('Smelter Look-up'!$F$4,$V12-4,0)))</f>
        <v>RMI</v>
      </c>
      <c r="H12" s="183">
        <f ca="1">IF(ISERROR($V12),"",OFFSET('Smelter Look-up'!$G$4,$V12-4,0))</f>
        <v>0</v>
      </c>
      <c r="I12" s="184" t="str">
        <f ca="1">IF(ISERROR($V12),"",OFFSET('Smelter Look-up'!$H$4,$V12-4,0))</f>
        <v>Pforzheim</v>
      </c>
      <c r="J12" s="184" t="str">
        <f ca="1">IF(ISERROR($V12),"",OFFSET('Smelter Look-up'!$I$4,$V12-4,0))</f>
        <v>Baden-Württemberg</v>
      </c>
      <c r="K12" s="224"/>
      <c r="L12" s="224"/>
      <c r="M12" s="224"/>
      <c r="N12" s="224"/>
      <c r="O12" s="224"/>
      <c r="P12" s="185" t="s">
        <v>486</v>
      </c>
      <c r="Q12" s="225"/>
      <c r="R12" s="182" t="str">
        <f ca="1">IF(ISERROR($V12),"",OFFSET('Smelter Look-up'!$C$4,$V12-4,0)&amp;"")</f>
        <v>WIELAND Edelmetalle GmbH</v>
      </c>
      <c r="S12" s="181" t="str">
        <f t="shared" ca="1" si="2"/>
        <v>DE</v>
      </c>
      <c r="T12" s="181" t="str">
        <f ca="1">IF(B12="","",IF(ISERROR(MATCH($J12,SorP!$B$1:$B$6226,0)),"",INDIRECT("'SorP'!$A$"&amp;MATCH($S12&amp;$J12,SorP!C:C,0))))</f>
        <v>DE-BW</v>
      </c>
      <c r="U12" s="201"/>
      <c r="V12" s="226">
        <f>IF(C12="",NA(),IF(OR(C12="Smelter not listed",C12="Smelter not yet identified"),MATCH($B12&amp;$D12,'Smelter Look-up'!$J:$J,0),MATCH($B12&amp;$C12,'Smelter Look-up'!$J:$J,0)))</f>
        <v>308</v>
      </c>
      <c r="X12" s="227">
        <f t="shared" ca="1" si="3"/>
        <v>0</v>
      </c>
      <c r="AB12" s="228" t="str">
        <f t="shared" si="4"/>
        <v>GoldWIELAND Edelmetalle GmbH</v>
      </c>
    </row>
    <row r="13" spans="1:34" s="227" customFormat="1" ht="19.95" customHeight="1">
      <c r="A13" s="182" t="s">
        <v>13835</v>
      </c>
      <c r="B13" s="182" t="s">
        <v>1119</v>
      </c>
      <c r="C13" s="186" t="s">
        <v>13815</v>
      </c>
      <c r="D13" s="230"/>
      <c r="E13" s="182" t="str">
        <f ca="1">IF(ISERROR($V13),"",OFFSET('Smelter Look-up'!$D$4,$V13-4,0)&amp;"")</f>
        <v>JAPAN</v>
      </c>
      <c r="F13" s="182" t="str">
        <f ca="1">IF(ISERROR($V13),"",OFFSET('Smelter Look-up'!$E$4,$V13-4,0))</f>
        <v>CID003425</v>
      </c>
      <c r="G13" s="182" t="str">
        <f ca="1">IF(C13=$X$4,IF(ISERROR($V13),"Enter smelter details","RMI"),IF(ISERROR($V13),"",OFFSET('Smelter Look-up'!$F$4,$V13-4,0)))</f>
        <v>RMI</v>
      </c>
      <c r="H13" s="183">
        <f ca="1">IF(ISERROR($V13),"",OFFSET('Smelter Look-up'!$G$4,$V13-4,0))</f>
        <v>0</v>
      </c>
      <c r="I13" s="184" t="str">
        <f ca="1">IF(ISERROR($V13),"",OFFSET('Smelter Look-up'!$H$4,$V13-4,0))</f>
        <v>Okayama</v>
      </c>
      <c r="J13" s="184" t="str">
        <f ca="1">IF(ISERROR($V13),"",OFFSET('Smelter Look-up'!$I$4,$V13-4,0))</f>
        <v>Okayama</v>
      </c>
      <c r="K13" s="224"/>
      <c r="L13" s="224"/>
      <c r="M13" s="224"/>
      <c r="N13" s="224"/>
      <c r="O13" s="224"/>
      <c r="P13" s="185" t="s">
        <v>486</v>
      </c>
      <c r="Q13" s="225"/>
      <c r="R13" s="182" t="str">
        <f ca="1">IF(ISERROR($V13),"",OFFSET('Smelter Look-up'!$C$4,$V13-4,0)&amp;"")</f>
        <v>Eco-System Recycling Co., Ltd. West Plant</v>
      </c>
      <c r="S13" s="181" t="str">
        <f t="shared" ca="1" si="2"/>
        <v>JP</v>
      </c>
      <c r="T13" s="181" t="str">
        <f ca="1">IF(B13="","",IF(ISERROR(MATCH($J13,SorP!$B$1:$B$6226,0)),"",INDIRECT("'SorP'!$A$"&amp;MATCH($S13&amp;$J13,SorP!C:C,0))))</f>
        <v>JP-33</v>
      </c>
      <c r="U13" s="201"/>
      <c r="V13" s="226">
        <f>IF(C13="",NA(),IF(OR(C13="Smelter not listed",C13="Smelter not yet identified"),MATCH($B13&amp;$D13,'Smelter Look-up'!$J:$J,0),MATCH($B13&amp;$C13,'Smelter Look-up'!$J:$J,0)))</f>
        <v>76</v>
      </c>
      <c r="X13" s="227">
        <f t="shared" ca="1" si="3"/>
        <v>0</v>
      </c>
      <c r="AB13" s="228" t="str">
        <f t="shared" si="4"/>
        <v>GoldEco-System Recycling Co., Ltd. West Plant</v>
      </c>
    </row>
    <row r="14" spans="1:34" s="227" customFormat="1" ht="19.95" customHeight="1">
      <c r="A14" s="182" t="s">
        <v>741</v>
      </c>
      <c r="B14" s="182" t="s">
        <v>1121</v>
      </c>
      <c r="C14" s="186" t="s">
        <v>43</v>
      </c>
      <c r="D14" s="230"/>
      <c r="E14" s="182" t="str">
        <f ca="1">IF(ISERROR($V14),"",OFFSET('Smelter Look-up'!$D$4,$V14-4,0)&amp;"")</f>
        <v>CHINA</v>
      </c>
      <c r="F14" s="182" t="str">
        <f ca="1">IF(ISERROR($V14),"",OFFSET('Smelter Look-up'!$E$4,$V14-4,0))</f>
        <v>CID000460</v>
      </c>
      <c r="G14" s="182" t="str">
        <f ca="1">IF(C14=$X$4,IF(ISERROR($V14),"Enter smelter details","RMI"),IF(ISERROR($V14),"",OFFSET('Smelter Look-up'!$F$4,$V14-4,0)))</f>
        <v>RMI</v>
      </c>
      <c r="H14" s="183">
        <f ca="1">IF(ISERROR($V14),"",OFFSET('Smelter Look-up'!$G$4,$V14-4,0))</f>
        <v>0</v>
      </c>
      <c r="I14" s="184" t="str">
        <f ca="1">IF(ISERROR($V14),"",OFFSET('Smelter Look-up'!$H$4,$V14-4,0))</f>
        <v>Jiangmen</v>
      </c>
      <c r="J14" s="184" t="str">
        <f ca="1">IF(ISERROR($V14),"",OFFSET('Smelter Look-up'!$I$4,$V14-4,0))</f>
        <v>Guangdong Sheng</v>
      </c>
      <c r="K14" s="224"/>
      <c r="L14" s="224"/>
      <c r="M14" s="224"/>
      <c r="N14" s="224"/>
      <c r="O14" s="224"/>
      <c r="P14" s="185" t="s">
        <v>486</v>
      </c>
      <c r="Q14" s="225"/>
      <c r="R14" s="182" t="str">
        <f ca="1">IF(ISERROR($V14),"",OFFSET('Smelter Look-up'!$C$4,$V14-4,0)&amp;"")</f>
        <v>F&amp;X Electro-Materials Ltd.</v>
      </c>
      <c r="S14" s="181" t="str">
        <f t="shared" ca="1" si="2"/>
        <v>CN</v>
      </c>
      <c r="T14" s="181" t="str">
        <f ca="1">IF(B14="","",IF(ISERROR(MATCH($J14,SorP!$B$1:$B$6226,0)),"",INDIRECT("'SorP'!$A$"&amp;MATCH($S14&amp;$J14,SorP!C:C,0))))</f>
        <v>CN-GD</v>
      </c>
      <c r="U14" s="201"/>
      <c r="V14" s="226">
        <f>IF(C14="",NA(),IF(OR(C14="Smelter not listed",C14="Smelter not yet identified"),MATCH($B14&amp;$D14,'Smelter Look-up'!$J:$J,0),MATCH($B14&amp;$C14,'Smelter Look-up'!$J:$J,0)))</f>
        <v>338</v>
      </c>
      <c r="X14" s="227">
        <f t="shared" ca="1" si="3"/>
        <v>0</v>
      </c>
      <c r="AB14" s="228" t="str">
        <f t="shared" si="4"/>
        <v>TantalumF&amp;X Electro-Materials Ltd.</v>
      </c>
    </row>
    <row r="15" spans="1:34" s="227" customFormat="1" ht="19.95" customHeight="1">
      <c r="A15" s="182" t="s">
        <v>1400</v>
      </c>
      <c r="B15" s="182" t="s">
        <v>1121</v>
      </c>
      <c r="C15" s="186" t="s">
        <v>1399</v>
      </c>
      <c r="D15" s="230"/>
      <c r="E15" s="182" t="str">
        <f ca="1">IF(ISERROR($V15),"",OFFSET('Smelter Look-up'!$D$4,$V15-4,0)&amp;"")</f>
        <v>JAPAN</v>
      </c>
      <c r="F15" s="182" t="str">
        <f ca="1">IF(ISERROR($V15),"",OFFSET('Smelter Look-up'!$E$4,$V15-4,0))</f>
        <v>CID002558</v>
      </c>
      <c r="G15" s="182" t="str">
        <f ca="1">IF(C15=$X$4,IF(ISERROR($V15),"Enter smelter details","RMI"),IF(ISERROR($V15),"",OFFSET('Smelter Look-up'!$F$4,$V15-4,0)))</f>
        <v>RMI</v>
      </c>
      <c r="H15" s="183">
        <f ca="1">IF(ISERROR($V15),"",OFFSET('Smelter Look-up'!$G$4,$V15-4,0))</f>
        <v>0</v>
      </c>
      <c r="I15" s="184" t="str">
        <f ca="1">IF(ISERROR($V15),"",OFFSET('Smelter Look-up'!$H$4,$V15-4,0))</f>
        <v>Aizuwakamatsu</v>
      </c>
      <c r="J15" s="184" t="str">
        <f ca="1">IF(ISERROR($V15),"",OFFSET('Smelter Look-up'!$I$4,$V15-4,0))</f>
        <v>Fukushima</v>
      </c>
      <c r="K15" s="224"/>
      <c r="L15" s="224"/>
      <c r="M15" s="224"/>
      <c r="N15" s="224"/>
      <c r="O15" s="224"/>
      <c r="P15" s="185" t="s">
        <v>485</v>
      </c>
      <c r="Q15" s="225"/>
      <c r="R15" s="182" t="str">
        <f ca="1">IF(ISERROR($V15),"",OFFSET('Smelter Look-up'!$C$4,$V15-4,0)&amp;"")</f>
        <v>Global Advanced Metals Aizu</v>
      </c>
      <c r="S15" s="181" t="str">
        <f t="shared" ca="1" si="2"/>
        <v>JP</v>
      </c>
      <c r="T15" s="181" t="str">
        <f ca="1">IF(B15="","",IF(ISERROR(MATCH($J15,SorP!$B$1:$B$6226,0)),"",INDIRECT("'SorP'!$A$"&amp;MATCH($S15&amp;$J15,SorP!C:C,0))))</f>
        <v>JP-07</v>
      </c>
      <c r="U15" s="201"/>
      <c r="V15" s="226">
        <f>IF(C15="",NA(),IF(OR(C15="Smelter not listed",C15="Smelter not yet identified"),MATCH($B15&amp;$D15,'Smelter Look-up'!$J:$J,0),MATCH($B15&amp;$C15,'Smelter Look-up'!$J:$J,0)))</f>
        <v>340</v>
      </c>
      <c r="X15" s="227">
        <f t="shared" ca="1" si="3"/>
        <v>0</v>
      </c>
      <c r="AB15" s="228" t="str">
        <f t="shared" si="4"/>
        <v>TantalumGlobal Advanced Metals Aizu</v>
      </c>
    </row>
    <row r="16" spans="1:34" s="227" customFormat="1" ht="19.95" customHeight="1">
      <c r="A16" s="182" t="s">
        <v>2261</v>
      </c>
      <c r="B16" s="182" t="s">
        <v>1120</v>
      </c>
      <c r="C16" s="186" t="s">
        <v>2318</v>
      </c>
      <c r="D16" s="230"/>
      <c r="E16" s="182" t="str">
        <f ca="1">IF(ISERROR($V16),"",OFFSET('Smelter Look-up'!$D$4,$V16-4,0)&amp;"")</f>
        <v>CHINA</v>
      </c>
      <c r="F16" s="182" t="str">
        <f ca="1">IF(ISERROR($V16),"",OFFSET('Smelter Look-up'!$E$4,$V16-4,0))</f>
        <v>CID000228</v>
      </c>
      <c r="G16" s="182" t="str">
        <f ca="1">IF(C16=$X$4,IF(ISERROR($V16),"Enter smelter details","RMI"),IF(ISERROR($V16),"",OFFSET('Smelter Look-up'!$F$4,$V16-4,0)))</f>
        <v>RMI</v>
      </c>
      <c r="H16" s="183">
        <f ca="1">IF(ISERROR($V16),"",OFFSET('Smelter Look-up'!$G$4,$V16-4,0))</f>
        <v>0</v>
      </c>
      <c r="I16" s="184" t="str">
        <f ca="1">IF(ISERROR($V16),"",OFFSET('Smelter Look-up'!$H$4,$V16-4,0))</f>
        <v>Chenzhou</v>
      </c>
      <c r="J16" s="184" t="str">
        <f ca="1">IF(ISERROR($V16),"",OFFSET('Smelter Look-up'!$I$4,$V16-4,0))</f>
        <v>Hunan Sheng</v>
      </c>
      <c r="K16" s="224"/>
      <c r="L16" s="224"/>
      <c r="M16" s="224"/>
      <c r="N16" s="224"/>
      <c r="O16" s="224"/>
      <c r="P16" s="185" t="s">
        <v>485</v>
      </c>
      <c r="Q16" s="225"/>
      <c r="R16" s="182" t="str">
        <f ca="1">IF(ISERROR($V16),"",OFFSET('Smelter Look-up'!$C$4,$V16-4,0)&amp;"")</f>
        <v>Chenzhou Yunxiang Mining and Metallurgy Co., Ltd.</v>
      </c>
      <c r="S16" s="181" t="str">
        <f t="shared" ca="1" si="2"/>
        <v>CN</v>
      </c>
      <c r="T16" s="181" t="str">
        <f ca="1">IF(B16="","",IF(ISERROR(MATCH($J16,SorP!$B$1:$B$6226,0)),"",INDIRECT("'SorP'!$A$"&amp;MATCH($S16&amp;$J16,SorP!C:C,0))))</f>
        <v>CN-HN</v>
      </c>
      <c r="U16" s="201"/>
      <c r="V16" s="226">
        <f>IF(C16="",NA(),IF(OR(C16="Smelter not listed",C16="Smelter not yet identified"),MATCH($B16&amp;$D16,'Smelter Look-up'!$J:$J,0),MATCH($B16&amp;$C16,'Smelter Look-up'!$J:$J,0)))</f>
        <v>411</v>
      </c>
      <c r="X16" s="227">
        <f t="shared" ca="1" si="3"/>
        <v>0</v>
      </c>
      <c r="AB16" s="228" t="str">
        <f t="shared" si="4"/>
        <v>TinChenzhou Yunxiang Mining and Metallurgy Co., Ltd.</v>
      </c>
    </row>
    <row r="17" spans="1:28" s="227" customFormat="1" ht="19.95" customHeight="1">
      <c r="A17" s="182" t="s">
        <v>1398</v>
      </c>
      <c r="B17" s="182" t="s">
        <v>1120</v>
      </c>
      <c r="C17" s="186" t="s">
        <v>896</v>
      </c>
      <c r="D17" s="230"/>
      <c r="E17" s="182" t="str">
        <f ca="1">IF(ISERROR($V17),"",OFFSET('Smelter Look-up'!$D$4,$V17-4,0)&amp;"")</f>
        <v>JAPAN</v>
      </c>
      <c r="F17" s="182" t="str">
        <f ca="1">IF(ISERROR($V17),"",OFFSET('Smelter Look-up'!$E$4,$V17-4,0))</f>
        <v>CID000402</v>
      </c>
      <c r="G17" s="182" t="str">
        <f ca="1">IF(C17=$X$4,IF(ISERROR($V17),"Enter smelter details","RMI"),IF(ISERROR($V17),"",OFFSET('Smelter Look-up'!$F$4,$V17-4,0)))</f>
        <v>RMI</v>
      </c>
      <c r="H17" s="183">
        <f ca="1">IF(ISERROR($V17),"",OFFSET('Smelter Look-up'!$G$4,$V17-4,0))</f>
        <v>0</v>
      </c>
      <c r="I17" s="184" t="str">
        <f ca="1">IF(ISERROR($V17),"",OFFSET('Smelter Look-up'!$H$4,$V17-4,0))</f>
        <v>Kosaka</v>
      </c>
      <c r="J17" s="184" t="str">
        <f ca="1">IF(ISERROR($V17),"",OFFSET('Smelter Look-up'!$I$4,$V17-4,0))</f>
        <v>Akita</v>
      </c>
      <c r="K17" s="224"/>
      <c r="L17" s="224"/>
      <c r="M17" s="224"/>
      <c r="N17" s="224"/>
      <c r="O17" s="224"/>
      <c r="P17" s="185" t="s">
        <v>486</v>
      </c>
      <c r="Q17" s="225"/>
      <c r="R17" s="182" t="str">
        <f ca="1">IF(ISERROR($V17),"",OFFSET('Smelter Look-up'!$C$4,$V17-4,0)&amp;"")</f>
        <v>Dowa</v>
      </c>
      <c r="S17" s="181" t="str">
        <f t="shared" ca="1" si="2"/>
        <v>JP</v>
      </c>
      <c r="T17" s="181" t="str">
        <f ca="1">IF(B17="","",IF(ISERROR(MATCH($J17,SorP!$B$1:$B$6226,0)),"",INDIRECT("'SorP'!$A$"&amp;MATCH($S17&amp;$J17,SorP!C:C,0))))</f>
        <v>JP-05</v>
      </c>
      <c r="U17" s="201"/>
      <c r="V17" s="226">
        <f>IF(C17="",NA(),IF(OR(C17="Smelter not listed",C17="Smelter not yet identified"),MATCH($B17&amp;$D17,'Smelter Look-up'!$J:$J,0),MATCH($B17&amp;$C17,'Smelter Look-up'!$J:$J,0)))</f>
        <v>429</v>
      </c>
      <c r="X17" s="227">
        <f t="shared" ca="1" si="3"/>
        <v>0</v>
      </c>
      <c r="AB17" s="228" t="str">
        <f t="shared" si="4"/>
        <v>TinDowa</v>
      </c>
    </row>
    <row r="18" spans="1:28" s="227" customFormat="1" ht="19.95" customHeight="1">
      <c r="A18" s="182" t="s">
        <v>762</v>
      </c>
      <c r="B18" s="182" t="s">
        <v>1120</v>
      </c>
      <c r="C18" s="186" t="s">
        <v>2128</v>
      </c>
      <c r="D18" s="230"/>
      <c r="E18" s="182" t="str">
        <f ca="1">IF(ISERROR($V18),"",OFFSET('Smelter Look-up'!$D$4,$V18-4,0)&amp;"")</f>
        <v>CHINA</v>
      </c>
      <c r="F18" s="182" t="str">
        <f ca="1">IF(ISERROR($V18),"",OFFSET('Smelter Look-up'!$E$4,$V18-4,0))</f>
        <v>CID000538</v>
      </c>
      <c r="G18" s="182" t="str">
        <f ca="1">IF(C18=$X$4,IF(ISERROR($V18),"Enter smelter details","RMI"),IF(ISERROR($V18),"",OFFSET('Smelter Look-up'!$F$4,$V18-4,0)))</f>
        <v>RMI</v>
      </c>
      <c r="H18" s="183">
        <f ca="1">IF(ISERROR($V18),"",OFFSET('Smelter Look-up'!$G$4,$V18-4,0))</f>
        <v>0</v>
      </c>
      <c r="I18" s="184" t="str">
        <f ca="1">IF(ISERROR($V18),"",OFFSET('Smelter Look-up'!$H$4,$V18-4,0))</f>
        <v>Gejiu</v>
      </c>
      <c r="J18" s="184" t="str">
        <f ca="1">IF(ISERROR($V18),"",OFFSET('Smelter Look-up'!$I$4,$V18-4,0))</f>
        <v>Yunnan Sheng</v>
      </c>
      <c r="K18" s="224"/>
      <c r="L18" s="224"/>
      <c r="M18" s="224"/>
      <c r="N18" s="224"/>
      <c r="O18" s="224"/>
      <c r="P18" s="185" t="s">
        <v>485</v>
      </c>
      <c r="Q18" s="225"/>
      <c r="R18" s="182" t="str">
        <f ca="1">IF(ISERROR($V18),"",OFFSET('Smelter Look-up'!$C$4,$V18-4,0)&amp;"")</f>
        <v>Gejiu Non-Ferrous Metal Processing Co., Ltd.</v>
      </c>
      <c r="S18" s="181" t="str">
        <f t="shared" ca="1" si="2"/>
        <v>CN</v>
      </c>
      <c r="T18" s="181" t="str">
        <f ca="1">IF(B18="","",IF(ISERROR(MATCH($J18,SorP!$B$1:$B$6226,0)),"",INDIRECT("'SorP'!$A$"&amp;MATCH($S18&amp;$J18,SorP!C:C,0))))</f>
        <v>CN-YN</v>
      </c>
      <c r="U18" s="201"/>
      <c r="V18" s="226">
        <f>IF(C18="",NA(),IF(OR(C18="Smelter not listed",C18="Smelter not yet identified"),MATCH($B18&amp;$D18,'Smelter Look-up'!$J:$J,0),MATCH($B18&amp;$C18,'Smelter Look-up'!$J:$J,0)))</f>
        <v>448</v>
      </c>
      <c r="X18" s="227">
        <f t="shared" ca="1" si="3"/>
        <v>0</v>
      </c>
      <c r="AB18" s="228" t="str">
        <f t="shared" si="4"/>
        <v>TinGejiu Non-Ferrous Metal Processing Co., Ltd.</v>
      </c>
    </row>
    <row r="19" spans="1:28" s="227" customFormat="1" ht="33" customHeight="1">
      <c r="A19" s="182" t="s">
        <v>1767</v>
      </c>
      <c r="B19" s="182" t="s">
        <v>1120</v>
      </c>
      <c r="C19" s="186" t="s">
        <v>2133</v>
      </c>
      <c r="D19" s="230"/>
      <c r="E19" s="182" t="str">
        <f ca="1">IF(ISERROR($V19),"",OFFSET('Smelter Look-up'!$D$4,$V19-4,0)&amp;"")</f>
        <v>UNITED STATES OF AMERICA</v>
      </c>
      <c r="F19" s="182" t="str">
        <f ca="1">IF(ISERROR($V19),"",OFFSET('Smelter Look-up'!$E$4,$V19-4,0))</f>
        <v>CID001142</v>
      </c>
      <c r="G19" s="182" t="str">
        <f ca="1">IF(C19=$X$4,IF(ISERROR($V19),"Enter smelter details","RMI"),IF(ISERROR($V19),"",OFFSET('Smelter Look-up'!$F$4,$V19-4,0)))</f>
        <v>RMI</v>
      </c>
      <c r="H19" s="183">
        <f ca="1">IF(ISERROR($V19),"",OFFSET('Smelter Look-up'!$G$4,$V19-4,0))</f>
        <v>0</v>
      </c>
      <c r="I19" s="184" t="str">
        <f ca="1">IF(ISERROR($V19),"",OFFSET('Smelter Look-up'!$H$4,$V19-4,0))</f>
        <v>Twinsburg</v>
      </c>
      <c r="J19" s="184" t="str">
        <f ca="1">IF(ISERROR($V19),"",OFFSET('Smelter Look-up'!$I$4,$V19-4,0))</f>
        <v>Ohio</v>
      </c>
      <c r="K19" s="224"/>
      <c r="L19" s="224"/>
      <c r="M19" s="224"/>
      <c r="N19" s="224"/>
      <c r="O19" s="224"/>
      <c r="P19" s="185" t="s">
        <v>486</v>
      </c>
      <c r="Q19" s="225"/>
      <c r="R19" s="182" t="str">
        <f ca="1">IF(ISERROR($V19),"",OFFSET('Smelter Look-up'!$C$4,$V19-4,0)&amp;"")</f>
        <v>Metallic Resources, Inc.</v>
      </c>
      <c r="S19" s="181" t="str">
        <f t="shared" ca="1" si="2"/>
        <v>US</v>
      </c>
      <c r="T19" s="181" t="str">
        <f ca="1">IF(B19="","",IF(ISERROR(MATCH($J19,SorP!$B$1:$B$6226,0)),"",INDIRECT("'SorP'!$A$"&amp;MATCH($S19&amp;$J19,SorP!C:C,0))))</f>
        <v>US-OH</v>
      </c>
      <c r="U19" s="201"/>
      <c r="V19" s="226">
        <f>IF(C19="",NA(),IF(OR(C19="Smelter not listed",C19="Smelter not yet identified"),MATCH($B19&amp;$D19,'Smelter Look-up'!$J:$J,0),MATCH($B19&amp;$C19,'Smelter Look-up'!$J:$J,0)))</f>
        <v>479</v>
      </c>
      <c r="X19" s="227">
        <f t="shared" ca="1" si="3"/>
        <v>0</v>
      </c>
      <c r="AB19" s="228" t="str">
        <f t="shared" si="4"/>
        <v>TinMetallic Resources, Inc.</v>
      </c>
    </row>
    <row r="20" spans="1:28" s="227" customFormat="1" ht="37.799999999999997">
      <c r="A20" s="182" t="s">
        <v>1801</v>
      </c>
      <c r="B20" s="182" t="s">
        <v>1120</v>
      </c>
      <c r="C20" s="186" t="s">
        <v>15496</v>
      </c>
      <c r="D20" s="230"/>
      <c r="E20" s="182" t="str">
        <f ca="1">IF(ISERROR($V20),"",OFFSET('Smelter Look-up'!$D$4,$V20-4,0)&amp;"")</f>
        <v>BELGIUM</v>
      </c>
      <c r="F20" s="182" t="str">
        <f ca="1">IF(ISERROR($V20),"",OFFSET('Smelter Look-up'!$E$4,$V20-4,0))</f>
        <v>CID002773</v>
      </c>
      <c r="G20" s="182" t="str">
        <f ca="1">IF(C20=$X$4,IF(ISERROR($V20),"Enter smelter details","RMI"),IF(ISERROR($V20),"",OFFSET('Smelter Look-up'!$F$4,$V20-4,0)))</f>
        <v>RMI</v>
      </c>
      <c r="H20" s="183">
        <f ca="1">IF(ISERROR($V20),"",OFFSET('Smelter Look-up'!$G$4,$V20-4,0))</f>
        <v>0</v>
      </c>
      <c r="I20" s="184" t="str">
        <f ca="1">IF(ISERROR($V20),"",OFFSET('Smelter Look-up'!$H$4,$V20-4,0))</f>
        <v>Beerse</v>
      </c>
      <c r="J20" s="184" t="str">
        <f ca="1">IF(ISERROR($V20),"",OFFSET('Smelter Look-up'!$I$4,$V20-4,0))</f>
        <v>Antwerpen</v>
      </c>
      <c r="K20" s="224"/>
      <c r="L20" s="224"/>
      <c r="M20" s="224"/>
      <c r="N20" s="224"/>
      <c r="O20" s="224"/>
      <c r="P20" s="185" t="s">
        <v>486</v>
      </c>
      <c r="Q20" s="225"/>
      <c r="R20" s="182" t="str">
        <f ca="1">IF(ISERROR($V20),"",OFFSET('Smelter Look-up'!$C$4,$V20-4,0)&amp;"")</f>
        <v>Aurubis Beerse</v>
      </c>
      <c r="S20" s="181" t="str">
        <f t="shared" ca="1" si="2"/>
        <v>BE</v>
      </c>
      <c r="T20" s="181" t="str">
        <f ca="1">IF(B20="","",IF(ISERROR(MATCH($J20,SorP!$B$1:$B$6226,0)),"",INDIRECT("'SorP'!$A$"&amp;MATCH($S20&amp;$J20,SorP!C:C,0))))</f>
        <v>BE-VAN</v>
      </c>
      <c r="U20" s="201"/>
      <c r="V20" s="226">
        <f>IF(C20="",NA(),IF(OR(C20="Smelter not listed",C20="Smelter not yet identified"),MATCH($B20&amp;$D20,'Smelter Look-up'!$J:$J,0),MATCH($B20&amp;$C20,'Smelter Look-up'!$J:$J,0)))</f>
        <v>405</v>
      </c>
      <c r="X20" s="227">
        <f t="shared" ca="1" si="3"/>
        <v>0</v>
      </c>
      <c r="AB20" s="228" t="str">
        <f t="shared" si="4"/>
        <v>TinAurubis Beerse</v>
      </c>
    </row>
    <row r="21" spans="1:28" s="227" customFormat="1" ht="19.95" customHeight="1">
      <c r="A21" s="182" t="s">
        <v>767</v>
      </c>
      <c r="B21" s="182" t="s">
        <v>1120</v>
      </c>
      <c r="C21" s="186" t="s">
        <v>12408</v>
      </c>
      <c r="D21" s="230"/>
      <c r="E21" s="182" t="str">
        <f ca="1">IF(ISERROR($V21),"",OFFSET('Smelter Look-up'!$D$4,$V21-4,0)&amp;"")</f>
        <v>BRAZIL</v>
      </c>
      <c r="F21" s="182" t="str">
        <f ca="1">IF(ISERROR($V21),"",OFFSET('Smelter Look-up'!$E$4,$V21-4,0))</f>
        <v>CID001173</v>
      </c>
      <c r="G21" s="182" t="str">
        <f ca="1">IF(C21=$X$4,IF(ISERROR($V21),"Enter smelter details","RMI"),IF(ISERROR($V21),"",OFFSET('Smelter Look-up'!$F$4,$V21-4,0)))</f>
        <v>RMI</v>
      </c>
      <c r="H21" s="183">
        <f ca="1">IF(ISERROR($V21),"",OFFSET('Smelter Look-up'!$G$4,$V21-4,0))</f>
        <v>0</v>
      </c>
      <c r="I21" s="184" t="str">
        <f ca="1">IF(ISERROR($V21),"",OFFSET('Smelter Look-up'!$H$4,$V21-4,0))</f>
        <v>Bairro Guarapiranga</v>
      </c>
      <c r="J21" s="184" t="str">
        <f ca="1">IF(ISERROR($V21),"",OFFSET('Smelter Look-up'!$I$4,$V21-4,0))</f>
        <v>São Paulo</v>
      </c>
      <c r="K21" s="224"/>
      <c r="L21" s="224"/>
      <c r="M21" s="224"/>
      <c r="N21" s="224"/>
      <c r="O21" s="224"/>
      <c r="P21" s="185" t="s">
        <v>485</v>
      </c>
      <c r="Q21" s="225"/>
      <c r="R21" s="182" t="str">
        <f ca="1">IF(ISERROR($V21),"",OFFSET('Smelter Look-up'!$C$4,$V21-4,0)&amp;"")</f>
        <v>Mineracao Taboca S.A.</v>
      </c>
      <c r="S21" s="181" t="str">
        <f t="shared" ca="1" si="2"/>
        <v>BR</v>
      </c>
      <c r="T21" s="181" t="str">
        <f ca="1">IF(B21="","",IF(ISERROR(MATCH($J21,SorP!$B$1:$B$6226,0)),"",INDIRECT("'SorP'!$A$"&amp;MATCH($S21&amp;$J21,SorP!C:C,0))))</f>
        <v>BR-SP</v>
      </c>
      <c r="U21" s="201"/>
      <c r="V21" s="226">
        <f>IF(C21="",NA(),IF(OR(C21="Smelter not listed",C21="Smelter not yet identified"),MATCH($B21&amp;$D21,'Smelter Look-up'!$J:$J,0),MATCH($B21&amp;$C21,'Smelter Look-up'!$J:$J,0)))</f>
        <v>482</v>
      </c>
      <c r="X21" s="227">
        <f t="shared" ca="1" si="3"/>
        <v>0</v>
      </c>
      <c r="AB21" s="228" t="str">
        <f t="shared" si="4"/>
        <v>TinMineracao Taboca S.A.</v>
      </c>
    </row>
    <row r="22" spans="1:28" s="227" customFormat="1" ht="21.45" customHeight="1">
      <c r="A22" s="182" t="s">
        <v>769</v>
      </c>
      <c r="B22" s="182" t="s">
        <v>1120</v>
      </c>
      <c r="C22" s="186" t="s">
        <v>1153</v>
      </c>
      <c r="D22" s="230"/>
      <c r="E22" s="182" t="str">
        <f ca="1">IF(ISERROR($V22),"",OFFSET('Smelter Look-up'!$D$4,$V22-4,0)&amp;"")</f>
        <v>JAPAN</v>
      </c>
      <c r="F22" s="182" t="str">
        <f ca="1">IF(ISERROR($V22),"",OFFSET('Smelter Look-up'!$E$4,$V22-4,0))</f>
        <v>CID001191</v>
      </c>
      <c r="G22" s="182" t="str">
        <f ca="1">IF(C22=$X$4,IF(ISERROR($V22),"Enter smelter details","RMI"),IF(ISERROR($V22),"",OFFSET('Smelter Look-up'!$F$4,$V22-4,0)))</f>
        <v>RMI</v>
      </c>
      <c r="H22" s="183">
        <f ca="1">IF(ISERROR($V22),"",OFFSET('Smelter Look-up'!$G$4,$V22-4,0))</f>
        <v>0</v>
      </c>
      <c r="I22" s="184" t="str">
        <f ca="1">IF(ISERROR($V22),"",OFFSET('Smelter Look-up'!$H$4,$V22-4,0))</f>
        <v>Asago</v>
      </c>
      <c r="J22" s="184" t="str">
        <f ca="1">IF(ISERROR($V22),"",OFFSET('Smelter Look-up'!$I$4,$V22-4,0))</f>
        <v>Hyogo</v>
      </c>
      <c r="K22" s="224"/>
      <c r="L22" s="224"/>
      <c r="M22" s="224"/>
      <c r="N22" s="224"/>
      <c r="O22" s="224"/>
      <c r="P22" s="185" t="s">
        <v>486</v>
      </c>
      <c r="Q22" s="225"/>
      <c r="R22" s="182" t="str">
        <f ca="1">IF(ISERROR($V22),"",OFFSET('Smelter Look-up'!$C$4,$V22-4,0)&amp;"")</f>
        <v>Mitsubishi Materials Corporation</v>
      </c>
      <c r="S22" s="181" t="str">
        <f t="shared" ca="1" si="2"/>
        <v>JP</v>
      </c>
      <c r="T22" s="181" t="str">
        <f ca="1">IF(B22="","",IF(ISERROR(MATCH($J22,SorP!$B$1:$B$6226,0)),"",INDIRECT("'SorP'!$A$"&amp;MATCH($S22&amp;$J22,SorP!C:C,0))))</f>
        <v>JP-28</v>
      </c>
      <c r="U22" s="201"/>
      <c r="V22" s="226">
        <f>IF(C22="",NA(),IF(OR(C22="Smelter not listed",C22="Smelter not yet identified"),MATCH($B22&amp;$D22,'Smelter Look-up'!$J:$J,0),MATCH($B22&amp;$C22,'Smelter Look-up'!$J:$J,0)))</f>
        <v>488</v>
      </c>
      <c r="X22" s="227">
        <f t="shared" ca="1" si="3"/>
        <v>0</v>
      </c>
      <c r="AB22" s="228" t="str">
        <f t="shared" si="4"/>
        <v>TinMitsubishi Materials Corporation</v>
      </c>
    </row>
    <row r="23" spans="1:28" s="227" customFormat="1" ht="44.55" customHeight="1">
      <c r="A23" s="182" t="s">
        <v>772</v>
      </c>
      <c r="B23" s="182" t="s">
        <v>1120</v>
      </c>
      <c r="C23" s="186" t="s">
        <v>13781</v>
      </c>
      <c r="D23" s="230"/>
      <c r="E23" s="182" t="str">
        <f ca="1">IF(ISERROR($V23),"",OFFSET('Smelter Look-up'!$D$4,$V23-4,0)&amp;"")</f>
        <v>BOLIVIA (PLURINATIONAL STATE OF)</v>
      </c>
      <c r="F23" s="182" t="str">
        <f ca="1">IF(ISERROR($V23),"",OFFSET('Smelter Look-up'!$E$4,$V23-4,0))</f>
        <v>CID001337</v>
      </c>
      <c r="G23" s="182" t="str">
        <f ca="1">IF(C23=$X$4,IF(ISERROR($V23),"Enter smelter details","RMI"),IF(ISERROR($V23),"",OFFSET('Smelter Look-up'!$F$4,$V23-4,0)))</f>
        <v>RMI</v>
      </c>
      <c r="H23" s="183">
        <f ca="1">IF(ISERROR($V23),"",OFFSET('Smelter Look-up'!$G$4,$V23-4,0))</f>
        <v>0</v>
      </c>
      <c r="I23" s="184" t="str">
        <f ca="1">IF(ISERROR($V23),"",OFFSET('Smelter Look-up'!$H$4,$V23-4,0))</f>
        <v>Oruro</v>
      </c>
      <c r="J23" s="184" t="str">
        <f ca="1">IF(ISERROR($V23),"",OFFSET('Smelter Look-up'!$I$4,$V23-4,0))</f>
        <v>Oruro</v>
      </c>
      <c r="K23" s="224"/>
      <c r="L23" s="224"/>
      <c r="M23" s="224"/>
      <c r="N23" s="224"/>
      <c r="O23" s="224"/>
      <c r="P23" s="185" t="s">
        <v>485</v>
      </c>
      <c r="Q23" s="225"/>
      <c r="R23" s="182" t="str">
        <f ca="1">IF(ISERROR($V23),"",OFFSET('Smelter Look-up'!$C$4,$V23-4,0)&amp;"")</f>
        <v>Operaciones Metalurgicas S.A.</v>
      </c>
      <c r="S23" s="181" t="str">
        <f t="shared" ca="1" si="2"/>
        <v>BO</v>
      </c>
      <c r="T23" s="181" t="str">
        <f ca="1">IF(B23="","",IF(ISERROR(MATCH($J23,SorP!$B$1:$B$6226,0)),"",INDIRECT("'SorP'!$A$"&amp;MATCH($S23&amp;$J23,SorP!C:C,0))))</f>
        <v>BO-O</v>
      </c>
      <c r="U23" s="201"/>
      <c r="V23" s="226">
        <f>IF(C23="",NA(),IF(OR(C23="Smelter not listed",C23="Smelter not yet identified"),MATCH($B23&amp;$D23,'Smelter Look-up'!$J:$J,0),MATCH($B23&amp;$C23,'Smelter Look-up'!$J:$J,0)))</f>
        <v>500</v>
      </c>
      <c r="X23" s="227">
        <f t="shared" ca="1" si="3"/>
        <v>0</v>
      </c>
      <c r="AB23" s="228" t="str">
        <f t="shared" si="4"/>
        <v>TinOperaciones Metalúrgicas S.A.</v>
      </c>
    </row>
    <row r="24" spans="1:28" s="227" customFormat="1" ht="34.5" customHeight="1">
      <c r="A24" s="182" t="s">
        <v>13161</v>
      </c>
      <c r="B24" s="182" t="s">
        <v>1120</v>
      </c>
      <c r="C24" s="186" t="s">
        <v>13160</v>
      </c>
      <c r="D24" s="230"/>
      <c r="E24" s="182" t="str">
        <f ca="1">IF(ISERROR($V24),"",OFFSET('Smelter Look-up'!$D$4,$V24-4,0)&amp;"")</f>
        <v>UNITED STATES OF AMERICA</v>
      </c>
      <c r="F24" s="182" t="str">
        <f ca="1">IF(ISERROR($V24),"",OFFSET('Smelter Look-up'!$E$4,$V24-4,0))</f>
        <v>CID003325</v>
      </c>
      <c r="G24" s="182" t="str">
        <f ca="1">IF(C24=$X$4,IF(ISERROR($V24),"Enter smelter details","RMI"),IF(ISERROR($V24),"",OFFSET('Smelter Look-up'!$F$4,$V24-4,0)))</f>
        <v>RMI</v>
      </c>
      <c r="H24" s="183">
        <f ca="1">IF(ISERROR($V24),"",OFFSET('Smelter Look-up'!$G$4,$V24-4,0))</f>
        <v>0</v>
      </c>
      <c r="I24" s="184" t="str">
        <f ca="1">IF(ISERROR($V24),"",OFFSET('Smelter Look-up'!$H$4,$V24-4,0))</f>
        <v>West Chester</v>
      </c>
      <c r="J24" s="184" t="str">
        <f ca="1">IF(ISERROR($V24),"",OFFSET('Smelter Look-up'!$I$4,$V24-4,0))</f>
        <v>Pennsylvania</v>
      </c>
      <c r="K24" s="224"/>
      <c r="L24" s="224"/>
      <c r="M24" s="224"/>
      <c r="N24" s="224"/>
      <c r="O24" s="224"/>
      <c r="P24" s="185" t="s">
        <v>486</v>
      </c>
      <c r="Q24" s="225"/>
      <c r="R24" s="182" t="str">
        <f ca="1">IF(ISERROR($V24),"",OFFSET('Smelter Look-up'!$C$4,$V24-4,0)&amp;"")</f>
        <v>Tin Technology &amp; Refining</v>
      </c>
      <c r="S24" s="181" t="str">
        <f t="shared" ca="1" si="2"/>
        <v>US</v>
      </c>
      <c r="T24" s="181" t="str">
        <f ca="1">IF(B24="","",IF(ISERROR(MATCH($J24,SorP!$B$1:$B$6226,0)),"",INDIRECT("'SorP'!$A$"&amp;MATCH($S24&amp;$J24,SorP!C:C,0))))</f>
        <v>US-PA</v>
      </c>
      <c r="U24" s="201"/>
      <c r="V24" s="226">
        <f>IF(C24="",NA(),IF(OR(C24="Smelter not listed",C24="Smelter not yet identified"),MATCH($B24&amp;$D24,'Smelter Look-up'!$J:$J,0),MATCH($B24&amp;$C24,'Smelter Look-up'!$J:$J,0)))</f>
        <v>551</v>
      </c>
      <c r="X24" s="227">
        <f t="shared" ca="1" si="3"/>
        <v>0</v>
      </c>
      <c r="AB24" s="228" t="str">
        <f t="shared" si="4"/>
        <v>TinTin Technology &amp; Refining</v>
      </c>
    </row>
    <row r="25" spans="1:28" s="227" customFormat="1" ht="22.95" customHeight="1">
      <c r="A25" s="182" t="s">
        <v>785</v>
      </c>
      <c r="B25" s="182" t="s">
        <v>1122</v>
      </c>
      <c r="C25" s="186" t="s">
        <v>1368</v>
      </c>
      <c r="D25" s="230"/>
      <c r="E25" s="182" t="str">
        <f ca="1">IF(ISERROR($V25),"",OFFSET('Smelter Look-up'!$D$4,$V25-4,0)&amp;"")</f>
        <v>CHINA</v>
      </c>
      <c r="F25" s="182" t="str">
        <f ca="1">IF(ISERROR($V25),"",OFFSET('Smelter Look-up'!$E$4,$V25-4,0))</f>
        <v>CID000218</v>
      </c>
      <c r="G25" s="182" t="str">
        <f ca="1">IF(C25=$X$4,IF(ISERROR($V25),"Enter smelter details","RMI"),IF(ISERROR($V25),"",OFFSET('Smelter Look-up'!$F$4,$V25-4,0)))</f>
        <v>RMI</v>
      </c>
      <c r="H25" s="183">
        <f ca="1">IF(ISERROR($V25),"",OFFSET('Smelter Look-up'!$G$4,$V25-4,0))</f>
        <v>0</v>
      </c>
      <c r="I25" s="184" t="str">
        <f ca="1">IF(ISERROR($V25),"",OFFSET('Smelter Look-up'!$H$4,$V25-4,0))</f>
        <v>Chaozhou</v>
      </c>
      <c r="J25" s="184" t="str">
        <f ca="1">IF(ISERROR($V25),"",OFFSET('Smelter Look-up'!$I$4,$V25-4,0))</f>
        <v>Guangdong Sheng</v>
      </c>
      <c r="K25" s="224"/>
      <c r="L25" s="224"/>
      <c r="M25" s="224"/>
      <c r="N25" s="224"/>
      <c r="O25" s="224"/>
      <c r="P25" s="185" t="s">
        <v>486</v>
      </c>
      <c r="Q25" s="225"/>
      <c r="R25" s="182" t="str">
        <f ca="1">IF(ISERROR($V25),"",OFFSET('Smelter Look-up'!$C$4,$V25-4,0)&amp;"")</f>
        <v>Guangdong Xianglu Tungsten Co., Ltd.</v>
      </c>
      <c r="S25" s="181" t="str">
        <f t="shared" ca="1" si="2"/>
        <v>CN</v>
      </c>
      <c r="T25" s="181" t="str">
        <f ca="1">IF(B25="","",IF(ISERROR(MATCH($J25,SorP!$B$1:$B$6226,0)),"",INDIRECT("'SorP'!$A$"&amp;MATCH($S25&amp;$J25,SorP!C:C,0))))</f>
        <v>CN-GD</v>
      </c>
      <c r="U25" s="201"/>
      <c r="V25" s="226">
        <f>IF(C25="",NA(),IF(OR(C25="Smelter not listed",C25="Smelter not yet identified"),MATCH($B25&amp;$D25,'Smelter Look-up'!$J:$J,0),MATCH($B25&amp;$C25,'Smelter Look-up'!$J:$J,0)))</f>
        <v>606</v>
      </c>
      <c r="X25" s="227">
        <f t="shared" ca="1" si="3"/>
        <v>0</v>
      </c>
      <c r="AB25" s="228" t="str">
        <f t="shared" si="4"/>
        <v>TungstenGuangdong Xianglu Tungsten Co., Ltd.</v>
      </c>
    </row>
    <row r="26" spans="1:28" s="227" customFormat="1" ht="22.5" customHeight="1">
      <c r="A26" s="182" t="s">
        <v>790</v>
      </c>
      <c r="B26" s="182" t="s">
        <v>1122</v>
      </c>
      <c r="C26" s="186" t="s">
        <v>1370</v>
      </c>
      <c r="D26" s="230"/>
      <c r="E26" s="182" t="str">
        <f ca="1">IF(ISERROR($V26),"",OFFSET('Smelter Look-up'!$D$4,$V26-4,0)&amp;"")</f>
        <v>JAPAN</v>
      </c>
      <c r="F26" s="182" t="str">
        <f ca="1">IF(ISERROR($V26),"",OFFSET('Smelter Look-up'!$E$4,$V26-4,0))</f>
        <v>CID000825</v>
      </c>
      <c r="G26" s="182" t="str">
        <f ca="1">IF(C26=$X$4,IF(ISERROR($V26),"Enter smelter details","RMI"),IF(ISERROR($V26),"",OFFSET('Smelter Look-up'!$F$4,$V26-4,0)))</f>
        <v>RMI</v>
      </c>
      <c r="H26" s="183">
        <f ca="1">IF(ISERROR($V26),"",OFFSET('Smelter Look-up'!$G$4,$V26-4,0))</f>
        <v>0</v>
      </c>
      <c r="I26" s="184" t="str">
        <f ca="1">IF(ISERROR($V26),"",OFFSET('Smelter Look-up'!$H$4,$V26-4,0))</f>
        <v>Akita City</v>
      </c>
      <c r="J26" s="184" t="str">
        <f ca="1">IF(ISERROR($V26),"",OFFSET('Smelter Look-up'!$I$4,$V26-4,0))</f>
        <v>Akita</v>
      </c>
      <c r="K26" s="224"/>
      <c r="L26" s="224"/>
      <c r="M26" s="224"/>
      <c r="N26" s="224"/>
      <c r="O26" s="224"/>
      <c r="P26" s="185" t="s">
        <v>485</v>
      </c>
      <c r="Q26" s="225"/>
      <c r="R26" s="182" t="str">
        <f ca="1">IF(ISERROR($V26),"",OFFSET('Smelter Look-up'!$C$4,$V26-4,0)&amp;"")</f>
        <v>Japan New Metals Co., Ltd.</v>
      </c>
      <c r="S26" s="181" t="str">
        <f t="shared" ca="1" si="2"/>
        <v>JP</v>
      </c>
      <c r="T26" s="181" t="str">
        <f ca="1">IF(B26="","",IF(ISERROR(MATCH($J26,SorP!$B$1:$B$6226,0)),"",INDIRECT("'SorP'!$A$"&amp;MATCH($S26&amp;$J26,SorP!C:C,0))))</f>
        <v>JP-05</v>
      </c>
      <c r="U26" s="201"/>
      <c r="V26" s="226">
        <f>IF(C26="",NA(),IF(OR(C26="Smelter not listed",C26="Smelter not yet identified"),MATCH($B26&amp;$D26,'Smelter Look-up'!$J:$J,0),MATCH($B26&amp;$C26,'Smelter Look-up'!$J:$J,0)))</f>
        <v>619</v>
      </c>
      <c r="X26" s="227">
        <f t="shared" ca="1" si="3"/>
        <v>0</v>
      </c>
      <c r="AB26" s="228" t="str">
        <f t="shared" si="4"/>
        <v>TungstenJapan New Metals Co., Ltd.</v>
      </c>
    </row>
    <row r="27" spans="1:28" s="227" customFormat="1" ht="22.05" customHeight="1">
      <c r="A27" s="182" t="s">
        <v>138</v>
      </c>
      <c r="B27" s="182" t="s">
        <v>1122</v>
      </c>
      <c r="C27" s="186" t="s">
        <v>148</v>
      </c>
      <c r="D27" s="230"/>
      <c r="E27" s="182" t="str">
        <f ca="1">IF(ISERROR($V27),"",OFFSET('Smelter Look-up'!$D$4,$V27-4,0)&amp;"")</f>
        <v>CHINA</v>
      </c>
      <c r="F27" s="182" t="str">
        <f ca="1">IF(ISERROR($V27),"",OFFSET('Smelter Look-up'!$E$4,$V27-4,0))</f>
        <v>CID002316</v>
      </c>
      <c r="G27" s="182" t="str">
        <f ca="1">IF(C27=$X$4,IF(ISERROR($V27),"Enter smelter details","RMI"),IF(ISERROR($V27),"",OFFSET('Smelter Look-up'!$F$4,$V27-4,0)))</f>
        <v>RMI</v>
      </c>
      <c r="H27" s="183">
        <f ca="1">IF(ISERROR($V27),"",OFFSET('Smelter Look-up'!$G$4,$V27-4,0))</f>
        <v>0</v>
      </c>
      <c r="I27" s="184" t="str">
        <f ca="1">IF(ISERROR($V27),"",OFFSET('Smelter Look-up'!$H$4,$V27-4,0))</f>
        <v>Ganzhou</v>
      </c>
      <c r="J27" s="184" t="str">
        <f ca="1">IF(ISERROR($V27),"",OFFSET('Smelter Look-up'!$I$4,$V27-4,0))</f>
        <v>Jiangxi Sheng</v>
      </c>
      <c r="K27" s="224"/>
      <c r="L27" s="224"/>
      <c r="M27" s="224"/>
      <c r="N27" s="224"/>
      <c r="O27" s="224"/>
      <c r="P27" s="185" t="s">
        <v>486</v>
      </c>
      <c r="Q27" s="225"/>
      <c r="R27" s="182" t="str">
        <f ca="1">IF(ISERROR($V27),"",OFFSET('Smelter Look-up'!$C$4,$V27-4,0)&amp;"")</f>
        <v>Jiangxi Yaosheng Tungsten Co., Ltd.</v>
      </c>
      <c r="S27" s="181" t="str">
        <f t="shared" ca="1" si="2"/>
        <v>CN</v>
      </c>
      <c r="T27" s="181" t="str">
        <f ca="1">IF(B27="","",IF(ISERROR(MATCH($J27,SorP!$B$1:$B$6226,0)),"",INDIRECT("'SorP'!$A$"&amp;MATCH($S27&amp;$J27,SorP!C:C,0))))</f>
        <v>CN-JX</v>
      </c>
      <c r="U27" s="201"/>
      <c r="V27" s="226">
        <f>IF(C27="",NA(),IF(OR(C27="Smelter not listed",C27="Smelter not yet identified"),MATCH($B27&amp;$D27,'Smelter Look-up'!$J:$J,0),MATCH($B27&amp;$C27,'Smelter Look-up'!$J:$J,0)))</f>
        <v>625</v>
      </c>
      <c r="X27" s="227">
        <f t="shared" ca="1" si="3"/>
        <v>0</v>
      </c>
      <c r="AB27" s="228" t="str">
        <f t="shared" si="4"/>
        <v>TungstenJiangxi Yaosheng Tungsten Co., Ltd.</v>
      </c>
    </row>
    <row r="28" spans="1:28" s="227" customFormat="1" ht="27.45" customHeight="1">
      <c r="A28" s="182" t="s">
        <v>141</v>
      </c>
      <c r="B28" s="182" t="s">
        <v>1122</v>
      </c>
      <c r="C28" s="186" t="s">
        <v>151</v>
      </c>
      <c r="D28" s="230"/>
      <c r="E28" s="182" t="str">
        <f ca="1">IF(ISERROR($V28),"",OFFSET('Smelter Look-up'!$D$4,$V28-4,0)&amp;"")</f>
        <v>CHINA</v>
      </c>
      <c r="F28" s="182" t="str">
        <f ca="1">IF(ISERROR($V28),"",OFFSET('Smelter Look-up'!$E$4,$V28-4,0))</f>
        <v>CID002319</v>
      </c>
      <c r="G28" s="182" t="str">
        <f ca="1">IF(C28=$X$4,IF(ISERROR($V28),"Enter smelter details","RMI"),IF(ISERROR($V28),"",OFFSET('Smelter Look-up'!$F$4,$V28-4,0)))</f>
        <v>RMI</v>
      </c>
      <c r="H28" s="183">
        <f ca="1">IF(ISERROR($V28),"",OFFSET('Smelter Look-up'!$G$4,$V28-4,0))</f>
        <v>0</v>
      </c>
      <c r="I28" s="184" t="str">
        <f ca="1">IF(ISERROR($V28),"",OFFSET('Smelter Look-up'!$H$4,$V28-4,0))</f>
        <v>Wen Shan</v>
      </c>
      <c r="J28" s="184" t="str">
        <f ca="1">IF(ISERROR($V28),"",OFFSET('Smelter Look-up'!$I$4,$V28-4,0))</f>
        <v>Yunnan Sheng</v>
      </c>
      <c r="K28" s="224"/>
      <c r="L28" s="224"/>
      <c r="M28" s="224"/>
      <c r="N28" s="224"/>
      <c r="O28" s="224"/>
      <c r="P28" s="185" t="s">
        <v>486</v>
      </c>
      <c r="Q28" s="225"/>
      <c r="R28" s="182" t="str">
        <f ca="1">IF(ISERROR($V28),"",OFFSET('Smelter Look-up'!$C$4,$V28-4,0)&amp;"")</f>
        <v>Malipo Haiyu Tungsten Co., Ltd.</v>
      </c>
      <c r="S28" s="181" t="str">
        <f t="shared" ca="1" si="2"/>
        <v>CN</v>
      </c>
      <c r="T28" s="181" t="str">
        <f ca="1">IF(B28="","",IF(ISERROR(MATCH($J28,SorP!$B$1:$B$6226,0)),"",INDIRECT("'SorP'!$A$"&amp;MATCH($S28&amp;$J28,SorP!C:C,0))))</f>
        <v>CN-YN</v>
      </c>
      <c r="U28" s="201"/>
      <c r="V28" s="226">
        <f>IF(C28="",NA(),IF(OR(C28="Smelter not listed",C28="Smelter not yet identified"),MATCH($B28&amp;$D28,'Smelter Look-up'!$J:$J,0),MATCH($B28&amp;$C28,'Smelter Look-up'!$J:$J,0)))</f>
        <v>635</v>
      </c>
      <c r="X28" s="227">
        <f t="shared" ca="1" si="3"/>
        <v>0</v>
      </c>
      <c r="AB28" s="228" t="str">
        <f t="shared" si="4"/>
        <v>TungstenMalipo Haiyu Tungsten Co., Ltd.</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type="noConversion"/>
  <conditionalFormatting sqref="B5:B2504">
    <cfRule type="expression" dxfId="32" priority="2" stopIfTrue="1">
      <formula>IF(B5="",TRUE)</formula>
    </cfRule>
    <cfRule type="expression" dxfId="31" priority="3" stopIfTrue="1">
      <formula>IF(AND(COUNTIF(MetalSmelter,B5&amp;C5)=0,LEN(C5)&gt;0),TRUE,FALSE)</formula>
    </cfRule>
  </conditionalFormatting>
  <conditionalFormatting sqref="C5:C2504">
    <cfRule type="expression" dxfId="30" priority="10" stopIfTrue="1">
      <formula>IF(AND(B5&lt;&gt;"",C5=""),TRUE)</formula>
    </cfRule>
  </conditionalFormatting>
  <conditionalFormatting sqref="D5:D2504">
    <cfRule type="expression" dxfId="29" priority="14" stopIfTrue="1">
      <formula>IF(AND(LEN($C5)&gt;0,AND($C5&lt;&gt;"Smelter Not Listed",ISBLANK($D5))),1,0)</formula>
    </cfRule>
    <cfRule type="expression" dxfId="28" priority="21" stopIfTrue="1">
      <formula>IF(AND(D5="",$C5=$X$4),TRUE)</formula>
    </cfRule>
    <cfRule type="expression" dxfId="27" priority="22" stopIfTrue="1">
      <formula>IF(FIND("!",D5),TRUE)</formula>
    </cfRule>
  </conditionalFormatting>
  <conditionalFormatting sqref="E5:E2504 R5:R2504">
    <cfRule type="expression" dxfId="26" priority="8" stopIfTrue="1">
      <formula>IF(AND(E5="",$C5=$X$4),TRUE)</formula>
    </cfRule>
    <cfRule type="expression" dxfId="25" priority="9" stopIfTrue="1">
      <formula>IF(FIND("!",E5),TRUE)</formula>
    </cfRule>
  </conditionalFormatting>
  <conditionalFormatting sqref="F5:F2504">
    <cfRule type="expression" dxfId="24" priority="6" stopIfTrue="1">
      <formula>IF(AND(LEN($A5)&gt;0,$A5&lt;&gt;$F5),TRUE,FALSE)</formula>
    </cfRule>
  </conditionalFormatting>
  <conditionalFormatting sqref="G5:G2504">
    <cfRule type="expression" dxfId="23" priority="23" stopIfTrue="1">
      <formula>IF(FIND("Enter smelter details",G5),TRUE)</formula>
    </cfRule>
  </conditionalFormatting>
  <conditionalFormatting sqref="A5:A28">
    <cfRule type="expression" dxfId="22" priority="1" stopIfTrue="1">
      <formula>IF(AND(LEN($A5)&gt;0,$A5&lt;&gt;$F5),TRUE,FALSE)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7"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5"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26.4">
      <c r="A1" s="381" t="str">
        <f ca="1">OFFSET(L!$C$1,MATCH("Checker"&amp;ADDRESS(ROW(),COLUMN(),4),L!$A:$A,0)-1,SL,,)</f>
        <v>To ensure all required fields have been populated before submitting to your customers review form for any line items highlighted in red</v>
      </c>
      <c r="B1" s="381"/>
      <c r="C1" s="381"/>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Sparkle Power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Sean Liu</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Seanl@sparklepower.com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408-519-8888 ext 141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Sean Liu</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Seanl@sparklepower.com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45673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7"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http://www.sparklepower.com/suppCMRT.html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39">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A5:A13">
    <cfRule type="expression" dxfId="16" priority="49" stopIfTrue="1">
      <formula>$F5=0</formula>
    </cfRule>
    <cfRule type="expression" dxfId="15" priority="50" stopIfTrue="1">
      <formula>AND($F5=1,$G5=0)</formula>
    </cfRule>
    <cfRule type="expression" dxfId="14" priority="51" stopIfTrue="1">
      <formula>AND($F5&lt;&gt;0,$G5&lt;&gt;0)</formula>
    </cfRule>
  </conditionalFormatting>
  <conditionalFormatting sqref="A29:A32">
    <cfRule type="expression" dxfId="13" priority="2" stopIfTrue="1">
      <formula>$F29=0</formula>
    </cfRule>
    <cfRule type="expression" dxfId="12" priority="3" stopIfTrue="1">
      <formula>$H29=0</formula>
    </cfRule>
    <cfRule type="expression" dxfId="11" priority="4" stopIfTrue="1">
      <formula>$H29=1</formula>
    </cfRule>
  </conditionalFormatting>
  <conditionalFormatting sqref="B65:B69">
    <cfRule type="expression" dxfId="10" priority="1" stopIfTrue="1">
      <formula>IF(F65=0,TRUE)</formula>
    </cfRule>
  </conditionalFormatting>
  <conditionalFormatting sqref="D56">
    <cfRule type="expression" dxfId="9"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2" sqref="C12"/>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 customHeight="1" thickTop="1">
      <c r="A1" s="383" t="str">
        <f ca="1">OFFSET(L!$C$1,MATCH("Product List"&amp;ADDRESS(ROW(),COLUMN(),4),L!$A:$A,0)-1,SL,,)</f>
        <v>Completion required only if reporting level "Product (or List of Products)" selected on the 'Declaration' worksheet.</v>
      </c>
      <c r="B1" s="384"/>
      <c r="C1" s="384"/>
      <c r="D1" s="384"/>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2" t="s">
        <v>888</v>
      </c>
      <c r="C4" s="382"/>
      <c r="D4" s="38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85" t="str">
        <f ca="1">OFFSET(L!$C$1,MATCH("General"&amp;"Cpy",L!$A:$A,0)-1,SL,,)</f>
        <v>© 2024 Responsible Minerals Initiative. All rights reserved.</v>
      </c>
      <c r="C2006" s="385"/>
      <c r="D2006" s="385"/>
      <c r="E2006" s="278"/>
    </row>
    <row r="2007" spans="1:5" ht="13.2"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8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6"/>
      <c r="C1" s="386"/>
      <c r="D1" s="386"/>
      <c r="E1" s="386"/>
      <c r="F1" s="386"/>
      <c r="G1" s="386"/>
    </row>
    <row r="2" spans="1:11">
      <c r="A2" s="387"/>
      <c r="B2" s="387"/>
      <c r="C2" s="387"/>
      <c r="D2" s="387"/>
      <c r="E2" s="387"/>
      <c r="F2" s="387"/>
      <c r="G2" s="387"/>
      <c r="H2" s="387"/>
      <c r="I2" s="387"/>
    </row>
    <row r="3" spans="1:11">
      <c r="A3" s="387"/>
      <c r="B3" s="387"/>
      <c r="C3" s="387"/>
      <c r="D3" s="387"/>
      <c r="E3" s="387"/>
      <c r="F3" s="387"/>
      <c r="G3" s="387"/>
      <c r="H3" s="387"/>
      <c r="I3" s="387"/>
    </row>
    <row r="4" spans="1:11" s="192" customFormat="1" ht="25.2">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8"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infopath/2007/PartnerControls"/>
    <ds:schemaRef ds:uri="http://purl.org/dc/elements/1.1/"/>
    <ds:schemaRef ds:uri="http://purl.org/dc/terms/"/>
    <ds:schemaRef ds:uri="http://schemas.microsoft.com/office/2006/documentManagement/types"/>
    <ds:schemaRef ds:uri="http://schemas.microsoft.com/office/2006/metadata/properties"/>
    <ds:schemaRef ds:uri="6e8a5f3d-031c-4996-804e-0e28298fe1e2"/>
    <ds:schemaRef ds:uri="a54701f6-876b-4337-a24e-543e1bd311e6"/>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Paul Yeh</cp:lastModifiedBy>
  <cp:lastPrinted>2015-04-21T20:47:43Z</cp:lastPrinted>
  <dcterms:created xsi:type="dcterms:W3CDTF">2010-06-21T21:00:23Z</dcterms:created>
  <dcterms:modified xsi:type="dcterms:W3CDTF">2025-02-12T17:44:15Z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